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31F52E8F-4961-4CB4-A7EE-03AAB150926D}" xr6:coauthVersionLast="47" xr6:coauthVersionMax="47" xr10:uidLastSave="{00000000-0000-0000-0000-000000000000}"/>
  <workbookProtection workbookPassword="E2F0" lockStructure="1"/>
  <bookViews>
    <workbookView xWindow="-108" yWindow="-108" windowWidth="23256" windowHeight="12456" tabRatio="500" activeTab="2" xr2:uid="{00000000-000D-0000-FFFF-FFFF00000000}"/>
  </bookViews>
  <sheets>
    <sheet name="HUONG-DAN" sheetId="1" r:id="rId1"/>
    <sheet name="MUC-LUC" sheetId="2" r:id="rId2"/>
    <sheet name="DASHBOARD" sheetId="3" r:id="rId3"/>
    <sheet name="K-HANG" sheetId="4" r:id="rId4"/>
    <sheet name="SANPHAM" sheetId="5" r:id="rId5"/>
    <sheet name="NHA-CUNG-CAP" sheetId="6" r:id="rId6"/>
    <sheet name="DON-HANG" sheetId="7" r:id="rId7"/>
    <sheet name="NHAP-HANG" sheetId="8" r:id="rId8"/>
    <sheet name="CHI-PHI" sheetId="9" r:id="rId9"/>
    <sheet name="THEO-DOI" sheetId="10" r:id="rId10"/>
    <sheet name="TONG-HOP" sheetId="11" r:id="rId11"/>
    <sheet name="CONG-NO" sheetId="12" r:id="rId12"/>
    <sheet name="MUC-TIEU" sheetId="13" r:id="rId13"/>
    <sheet name="_LISTS" sheetId="14" state="hidden" r:id="rId14"/>
  </sheets>
  <definedNames>
    <definedName name="_xlnm._FilterDatabase" localSheetId="8" hidden="1">'CHI-PHI'!$A$22:$J$40</definedName>
    <definedName name="_xlnm._FilterDatabase" localSheetId="6" hidden="1">'DON-HANG'!$A$4:$P$44</definedName>
    <definedName name="_xlnm._FilterDatabase" localSheetId="3" hidden="1">'K-HANG'!$A$3:$Q$43</definedName>
    <definedName name="_xlnm._FilterDatabase" localSheetId="5" hidden="1">'NHA-CUNG-CAP'!$A$3:$L$23</definedName>
    <definedName name="_xlnm._FilterDatabase" localSheetId="7" hidden="1">'NHAP-HANG'!$A$3:$H$43</definedName>
    <definedName name="_xlnm._FilterDatabase" localSheetId="4" hidden="1">SANPHAM!$A$4:$T$34</definedName>
    <definedName name="_xlnm._FilterDatabase" localSheetId="9" hidden="1">'THEO-DOI'!$A$3:$K$40</definedName>
    <definedName name="DSKHACH">OFFSET('K-HANG'!$B$4,0,0,COUNTA('K-HANG'!$B$4:$B$1000),1)</definedName>
    <definedName name="DSNCC">OFFSET('NHA-CUNG-CAP'!$B$4,0,0,COUNTA('NHA-CUNG-CAP'!$B$4:$B$1000),1)</definedName>
    <definedName name="DSSANPHAM">OFFSET(SANPHAM!$A$5,0,0,COUNTA(SANPHAM!$A$5:$A$1000),1)</definedName>
    <definedName name="NAM_LIST">OFFSET(_LISTS!$A$1,0,0,COUNT(_LISTS!$A$1:$A$20),1)</definedName>
    <definedName name="_xlnm.Print_Area" localSheetId="11">'CONG-NO'!$A$1:$F$27</definedName>
    <definedName name="_xlnm.Print_Area" localSheetId="2">DASHBOARD!$A$1:$K$56</definedName>
    <definedName name="_xlnm.Print_Area" localSheetId="0">'HUONG-DAN'!$B$1:$C$66</definedName>
    <definedName name="_xlnm.Print_Area" localSheetId="3">'K-HANG'!$A$1:$Q$43</definedName>
    <definedName name="_xlnm.Print_Area" localSheetId="1">'MUC-LUC'!$A$1:$K$23</definedName>
    <definedName name="_xlnm.Print_Area" localSheetId="12">'MUC-TIEU'!$A$1:$E$18</definedName>
    <definedName name="_xlnm.Print_Area" localSheetId="5">'NHA-CUNG-CAP'!$A$1:$L$23</definedName>
    <definedName name="_xlnm.Print_Area" localSheetId="7">'NHAP-HANG'!$A$1:$L$45</definedName>
    <definedName name="_xlnm.Print_Area" localSheetId="4">SANPHAM!$A$1:$T$34</definedName>
    <definedName name="_xlnm.Print_Area" localSheetId="9">'THEO-DOI'!$A$1:$K$40</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 i="14" l="1"/>
  <c r="A2" i="14" s="1"/>
  <c r="A3" i="14" s="1"/>
  <c r="A4" i="14" s="1"/>
  <c r="A5" i="14" s="1"/>
  <c r="A6" i="14" s="1"/>
  <c r="A7" i="14" s="1"/>
  <c r="A8" i="14" s="1"/>
  <c r="A9" i="14" s="1"/>
  <c r="A10" i="14" s="1"/>
  <c r="A11" i="14" s="1"/>
  <c r="A12" i="14" s="1"/>
  <c r="A13" i="14" s="1"/>
  <c r="A14" i="14" s="1"/>
  <c r="A15" i="14" s="1"/>
  <c r="A16" i="14" s="1"/>
  <c r="A17" i="14" s="1"/>
  <c r="A18" i="14" s="1"/>
  <c r="A19" i="14" s="1"/>
  <c r="A20" i="14" s="1"/>
  <c r="B18" i="13"/>
  <c r="E17" i="13"/>
  <c r="D17" i="13"/>
  <c r="E16" i="13"/>
  <c r="D16" i="13"/>
  <c r="E15" i="13"/>
  <c r="D15" i="13"/>
  <c r="E14" i="13"/>
  <c r="D14" i="13"/>
  <c r="E13" i="13"/>
  <c r="D13" i="13"/>
  <c r="E12" i="13"/>
  <c r="D12" i="13"/>
  <c r="E10" i="13"/>
  <c r="D10" i="13"/>
  <c r="E9" i="13"/>
  <c r="D9" i="13"/>
  <c r="E8" i="13"/>
  <c r="D8" i="13"/>
  <c r="E7" i="13"/>
  <c r="D7" i="13"/>
  <c r="E6" i="13"/>
  <c r="D6" i="13"/>
  <c r="B27" i="12"/>
  <c r="A27" i="12"/>
  <c r="C27" i="12" s="1"/>
  <c r="B26" i="12"/>
  <c r="A26" i="12"/>
  <c r="C26" i="12" s="1"/>
  <c r="C25" i="12"/>
  <c r="B25" i="12"/>
  <c r="A25" i="12"/>
  <c r="C24" i="12"/>
  <c r="A24" i="12"/>
  <c r="B24" i="12" s="1"/>
  <c r="C23" i="12"/>
  <c r="A23" i="12"/>
  <c r="B23" i="12" s="1"/>
  <c r="A22" i="12"/>
  <c r="C22" i="12" s="1"/>
  <c r="A21" i="12"/>
  <c r="C21" i="12" s="1"/>
  <c r="B20" i="12"/>
  <c r="A20" i="12"/>
  <c r="C20" i="12" s="1"/>
  <c r="B19" i="12"/>
  <c r="A19" i="12"/>
  <c r="C19" i="12" s="1"/>
  <c r="B18" i="12"/>
  <c r="A18" i="12"/>
  <c r="C18" i="12" s="1"/>
  <c r="C17" i="12"/>
  <c r="B17" i="12"/>
  <c r="A17" i="12"/>
  <c r="C16" i="12"/>
  <c r="A16" i="12"/>
  <c r="B16" i="12" s="1"/>
  <c r="C15" i="12"/>
  <c r="A15" i="12"/>
  <c r="B15" i="12" s="1"/>
  <c r="A14" i="12"/>
  <c r="C14" i="12" s="1"/>
  <c r="A13" i="12"/>
  <c r="C13" i="12" s="1"/>
  <c r="C12" i="12"/>
  <c r="B12" i="12"/>
  <c r="A12" i="12"/>
  <c r="C11" i="12"/>
  <c r="A11" i="12"/>
  <c r="B11" i="12" s="1"/>
  <c r="B10" i="12"/>
  <c r="A10" i="12"/>
  <c r="C10" i="12" s="1"/>
  <c r="F9" i="12"/>
  <c r="C9" i="12"/>
  <c r="A9" i="12"/>
  <c r="B9" i="12" s="1"/>
  <c r="F8" i="12"/>
  <c r="B8" i="12"/>
  <c r="A8" i="12"/>
  <c r="C8" i="12" s="1"/>
  <c r="C5" i="12"/>
  <c r="H17" i="11"/>
  <c r="G17" i="11"/>
  <c r="H16" i="11"/>
  <c r="G16" i="11"/>
  <c r="H15" i="11"/>
  <c r="G15" i="11"/>
  <c r="H14" i="11"/>
  <c r="G14" i="11"/>
  <c r="H13" i="11"/>
  <c r="G13" i="11"/>
  <c r="H12" i="11"/>
  <c r="G12" i="11"/>
  <c r="H11" i="11"/>
  <c r="G11" i="11"/>
  <c r="B11" i="11"/>
  <c r="H10" i="11"/>
  <c r="G10" i="11"/>
  <c r="C10" i="11"/>
  <c r="H9" i="11"/>
  <c r="G9" i="11"/>
  <c r="H8" i="11"/>
  <c r="G8" i="11"/>
  <c r="H7" i="11"/>
  <c r="G7" i="11"/>
  <c r="C7" i="11"/>
  <c r="H6" i="11"/>
  <c r="H18" i="11" s="1"/>
  <c r="G6" i="11"/>
  <c r="G18" i="11" s="1"/>
  <c r="D6" i="11"/>
  <c r="E41" i="9"/>
  <c r="G18" i="9"/>
  <c r="G17" i="9"/>
  <c r="G16" i="9"/>
  <c r="G15" i="9"/>
  <c r="G14" i="9"/>
  <c r="G13" i="9"/>
  <c r="G12" i="9"/>
  <c r="G11" i="9"/>
  <c r="G10" i="9"/>
  <c r="G9" i="9"/>
  <c r="G8" i="9"/>
  <c r="G7" i="9"/>
  <c r="G6" i="9"/>
  <c r="G5" i="9"/>
  <c r="L43" i="8"/>
  <c r="J43" i="8"/>
  <c r="K43" i="8" s="1"/>
  <c r="I43" i="8"/>
  <c r="E43" i="8"/>
  <c r="J42" i="8"/>
  <c r="K42" i="8" s="1"/>
  <c r="I42" i="8"/>
  <c r="L42" i="8" s="1"/>
  <c r="E42" i="8"/>
  <c r="K41" i="8"/>
  <c r="J41" i="8"/>
  <c r="I41" i="8"/>
  <c r="L41" i="8" s="1"/>
  <c r="E41" i="8"/>
  <c r="L40" i="8"/>
  <c r="K40" i="8"/>
  <c r="J40" i="8"/>
  <c r="I40" i="8"/>
  <c r="E40" i="8"/>
  <c r="K39" i="8"/>
  <c r="J39" i="8"/>
  <c r="I39" i="8"/>
  <c r="L39" i="8" s="1"/>
  <c r="E39" i="8"/>
  <c r="L38" i="8"/>
  <c r="J38" i="8"/>
  <c r="K38" i="8" s="1"/>
  <c r="I38" i="8"/>
  <c r="E38" i="8"/>
  <c r="L37" i="8"/>
  <c r="J37" i="8"/>
  <c r="K37" i="8" s="1"/>
  <c r="I37" i="8"/>
  <c r="E37" i="8"/>
  <c r="L36" i="8"/>
  <c r="J36" i="8"/>
  <c r="K36" i="8" s="1"/>
  <c r="I36" i="8"/>
  <c r="E36" i="8"/>
  <c r="L35" i="8"/>
  <c r="J35" i="8"/>
  <c r="K35" i="8" s="1"/>
  <c r="I35" i="8"/>
  <c r="E35" i="8"/>
  <c r="J34" i="8"/>
  <c r="K34" i="8" s="1"/>
  <c r="I34" i="8"/>
  <c r="L34" i="8" s="1"/>
  <c r="E34" i="8"/>
  <c r="K33" i="8"/>
  <c r="J33" i="8"/>
  <c r="I33" i="8"/>
  <c r="L33" i="8" s="1"/>
  <c r="E33" i="8"/>
  <c r="L32" i="8"/>
  <c r="K32" i="8"/>
  <c r="J32" i="8"/>
  <c r="I32" i="8"/>
  <c r="E32" i="8"/>
  <c r="K31" i="8"/>
  <c r="J31" i="8"/>
  <c r="I31" i="8"/>
  <c r="L31" i="8" s="1"/>
  <c r="E31" i="8"/>
  <c r="L30" i="8"/>
  <c r="J30" i="8"/>
  <c r="K30" i="8" s="1"/>
  <c r="I30" i="8"/>
  <c r="E30" i="8"/>
  <c r="L29" i="8"/>
  <c r="J29" i="8"/>
  <c r="K29" i="8" s="1"/>
  <c r="I29" i="8"/>
  <c r="E29" i="8"/>
  <c r="L28" i="8"/>
  <c r="J28" i="8"/>
  <c r="K28" i="8" s="1"/>
  <c r="I28" i="8"/>
  <c r="E28" i="8"/>
  <c r="L27" i="8"/>
  <c r="J27" i="8"/>
  <c r="K27" i="8" s="1"/>
  <c r="I27" i="8"/>
  <c r="E27" i="8"/>
  <c r="J26" i="8"/>
  <c r="K26" i="8" s="1"/>
  <c r="I26" i="8"/>
  <c r="L26" i="8" s="1"/>
  <c r="E26" i="8"/>
  <c r="K25" i="8"/>
  <c r="J25" i="8"/>
  <c r="I25" i="8"/>
  <c r="L25" i="8" s="1"/>
  <c r="E25" i="8"/>
  <c r="L24" i="8"/>
  <c r="K24" i="8"/>
  <c r="J24" i="8"/>
  <c r="I24" i="8"/>
  <c r="E24" i="8"/>
  <c r="K23" i="8"/>
  <c r="J23" i="8"/>
  <c r="I23" i="8"/>
  <c r="L23" i="8" s="1"/>
  <c r="E23" i="8"/>
  <c r="L22" i="8"/>
  <c r="J22" i="8"/>
  <c r="K22" i="8" s="1"/>
  <c r="I22" i="8"/>
  <c r="E22" i="8"/>
  <c r="L21" i="8"/>
  <c r="J21" i="8"/>
  <c r="K21" i="8" s="1"/>
  <c r="I21" i="8"/>
  <c r="E21" i="8"/>
  <c r="L20" i="8"/>
  <c r="J20" i="8"/>
  <c r="K20" i="8" s="1"/>
  <c r="I20" i="8"/>
  <c r="E20" i="8"/>
  <c r="L19" i="8"/>
  <c r="J19" i="8"/>
  <c r="K19" i="8" s="1"/>
  <c r="I19" i="8"/>
  <c r="E19" i="8"/>
  <c r="J18" i="8"/>
  <c r="K18" i="8" s="1"/>
  <c r="I18" i="8"/>
  <c r="L18" i="8" s="1"/>
  <c r="E18" i="8"/>
  <c r="K17" i="8"/>
  <c r="J17" i="8"/>
  <c r="I17" i="8"/>
  <c r="L17" i="8" s="1"/>
  <c r="E17" i="8"/>
  <c r="L16" i="8"/>
  <c r="K16" i="8"/>
  <c r="J16" i="8"/>
  <c r="I16" i="8"/>
  <c r="E16" i="8"/>
  <c r="K15" i="8"/>
  <c r="J15" i="8"/>
  <c r="I15" i="8"/>
  <c r="L15" i="8" s="1"/>
  <c r="E15" i="8"/>
  <c r="L14" i="8"/>
  <c r="J14" i="8"/>
  <c r="K14" i="8" s="1"/>
  <c r="I14" i="8"/>
  <c r="E14" i="8"/>
  <c r="L13" i="8"/>
  <c r="J13" i="8"/>
  <c r="K13" i="8" s="1"/>
  <c r="I13" i="8"/>
  <c r="E13" i="8"/>
  <c r="L12" i="8"/>
  <c r="J12" i="8"/>
  <c r="K12" i="8" s="1"/>
  <c r="I12" i="8"/>
  <c r="E12" i="8"/>
  <c r="L11" i="8"/>
  <c r="J11" i="8"/>
  <c r="K11" i="8" s="1"/>
  <c r="I11" i="8"/>
  <c r="E11" i="8"/>
  <c r="J10" i="8"/>
  <c r="K10" i="8" s="1"/>
  <c r="I10" i="8"/>
  <c r="L10" i="8" s="1"/>
  <c r="E10" i="8"/>
  <c r="K9" i="8"/>
  <c r="J9" i="8"/>
  <c r="I9" i="8"/>
  <c r="L9" i="8" s="1"/>
  <c r="E9" i="8"/>
  <c r="L8" i="8"/>
  <c r="K8" i="8"/>
  <c r="J8" i="8"/>
  <c r="I8" i="8"/>
  <c r="E8" i="8"/>
  <c r="K7" i="8"/>
  <c r="J7" i="8"/>
  <c r="I7" i="8"/>
  <c r="L7" i="8" s="1"/>
  <c r="E7" i="8"/>
  <c r="L6" i="8"/>
  <c r="J6" i="8"/>
  <c r="K6" i="8" s="1"/>
  <c r="I6" i="8"/>
  <c r="E6" i="8"/>
  <c r="J5" i="8"/>
  <c r="K5" i="8" s="1"/>
  <c r="I5" i="8"/>
  <c r="L5" i="8" s="1"/>
  <c r="E5" i="8"/>
  <c r="F10" i="12" s="1"/>
  <c r="L4" i="8"/>
  <c r="J4" i="8"/>
  <c r="K4" i="8" s="1"/>
  <c r="I4" i="8"/>
  <c r="E4" i="8"/>
  <c r="I4" i="6" s="1"/>
  <c r="K4" i="6" s="1"/>
  <c r="K45" i="7"/>
  <c r="E8" i="11" s="1"/>
  <c r="J45" i="7"/>
  <c r="I45" i="7"/>
  <c r="H45" i="7"/>
  <c r="G45" i="7"/>
  <c r="C15" i="13" s="1"/>
  <c r="F45" i="7"/>
  <c r="N44" i="7"/>
  <c r="M44" i="7"/>
  <c r="L44" i="7"/>
  <c r="N43" i="7"/>
  <c r="M43" i="7"/>
  <c r="L43" i="7"/>
  <c r="N42" i="7"/>
  <c r="M42" i="7"/>
  <c r="L42" i="7"/>
  <c r="N41" i="7"/>
  <c r="M41" i="7"/>
  <c r="L41" i="7"/>
  <c r="N40" i="7"/>
  <c r="M40" i="7"/>
  <c r="L40" i="7"/>
  <c r="N39" i="7"/>
  <c r="M39" i="7"/>
  <c r="L39" i="7"/>
  <c r="N38" i="7"/>
  <c r="M38" i="7"/>
  <c r="L38" i="7"/>
  <c r="N37" i="7"/>
  <c r="M37" i="7"/>
  <c r="L37" i="7"/>
  <c r="N36" i="7"/>
  <c r="M36" i="7"/>
  <c r="L36" i="7"/>
  <c r="N35" i="7"/>
  <c r="M35" i="7"/>
  <c r="L35" i="7"/>
  <c r="N34" i="7"/>
  <c r="M34" i="7"/>
  <c r="L34" i="7"/>
  <c r="N33" i="7"/>
  <c r="M33" i="7"/>
  <c r="L33" i="7"/>
  <c r="N32" i="7"/>
  <c r="M32" i="7"/>
  <c r="L32" i="7"/>
  <c r="N31" i="7"/>
  <c r="M31" i="7"/>
  <c r="L31" i="7"/>
  <c r="N30" i="7"/>
  <c r="M30" i="7"/>
  <c r="L30" i="7"/>
  <c r="N29" i="7"/>
  <c r="M29" i="7"/>
  <c r="L29" i="7"/>
  <c r="N28" i="7"/>
  <c r="M28" i="7"/>
  <c r="L28" i="7"/>
  <c r="N27" i="7"/>
  <c r="M27" i="7"/>
  <c r="L27" i="7"/>
  <c r="N26" i="7"/>
  <c r="M26" i="7"/>
  <c r="L26" i="7"/>
  <c r="N25" i="7"/>
  <c r="M25" i="7"/>
  <c r="L25" i="7"/>
  <c r="N24" i="7"/>
  <c r="M24" i="7"/>
  <c r="L24" i="7"/>
  <c r="N23" i="7"/>
  <c r="M23" i="7"/>
  <c r="L23" i="7"/>
  <c r="N22" i="7"/>
  <c r="M22" i="7"/>
  <c r="L22" i="7"/>
  <c r="N21" i="7"/>
  <c r="M21" i="7"/>
  <c r="L21" i="7"/>
  <c r="N20" i="7"/>
  <c r="M20" i="7"/>
  <c r="L20" i="7"/>
  <c r="N19" i="7"/>
  <c r="M19" i="7"/>
  <c r="L19" i="7"/>
  <c r="N18" i="7"/>
  <c r="M18" i="7"/>
  <c r="L18" i="7"/>
  <c r="N17" i="7"/>
  <c r="M17" i="7"/>
  <c r="L17" i="7"/>
  <c r="N16" i="7"/>
  <c r="M16" i="7"/>
  <c r="L16" i="7"/>
  <c r="N15" i="7"/>
  <c r="M15" i="7"/>
  <c r="L15" i="7"/>
  <c r="N14" i="7"/>
  <c r="M14" i="7"/>
  <c r="L14" i="7"/>
  <c r="N13" i="7"/>
  <c r="M13" i="7"/>
  <c r="L13" i="7"/>
  <c r="N12" i="7"/>
  <c r="M12" i="7"/>
  <c r="L12" i="7"/>
  <c r="N11" i="7"/>
  <c r="M11" i="7"/>
  <c r="L11" i="7"/>
  <c r="N10" i="7"/>
  <c r="M10" i="7"/>
  <c r="L10" i="7"/>
  <c r="N9" i="7"/>
  <c r="M9" i="7"/>
  <c r="L9" i="7"/>
  <c r="N8" i="7"/>
  <c r="M8" i="7"/>
  <c r="L8" i="7"/>
  <c r="N7" i="7"/>
  <c r="M7" i="7"/>
  <c r="L7" i="7"/>
  <c r="N6" i="7"/>
  <c r="M6" i="7"/>
  <c r="L6" i="7"/>
  <c r="N5" i="7"/>
  <c r="M5" i="7"/>
  <c r="L5" i="7"/>
  <c r="J3" i="7"/>
  <c r="I3" i="7"/>
  <c r="G3" i="7"/>
  <c r="A3" i="7"/>
  <c r="K23" i="6"/>
  <c r="J23" i="6"/>
  <c r="I23" i="6"/>
  <c r="J22" i="6"/>
  <c r="I22" i="6"/>
  <c r="K22" i="6" s="1"/>
  <c r="K21" i="6"/>
  <c r="J21" i="6"/>
  <c r="I21" i="6"/>
  <c r="K20" i="6"/>
  <c r="J20" i="6"/>
  <c r="I20" i="6"/>
  <c r="J19" i="6"/>
  <c r="I19" i="6"/>
  <c r="K19" i="6" s="1"/>
  <c r="K18" i="6"/>
  <c r="J18" i="6"/>
  <c r="I18" i="6"/>
  <c r="J17" i="6"/>
  <c r="I17" i="6"/>
  <c r="K17" i="6" s="1"/>
  <c r="J16" i="6"/>
  <c r="I16" i="6"/>
  <c r="K16" i="6" s="1"/>
  <c r="K15" i="6"/>
  <c r="J15" i="6"/>
  <c r="I15" i="6"/>
  <c r="J14" i="6"/>
  <c r="I14" i="6"/>
  <c r="K14" i="6" s="1"/>
  <c r="K13" i="6"/>
  <c r="J13" i="6"/>
  <c r="I13" i="6"/>
  <c r="K12" i="6"/>
  <c r="J12" i="6"/>
  <c r="I12" i="6"/>
  <c r="K11" i="6"/>
  <c r="J11" i="6"/>
  <c r="I11" i="6"/>
  <c r="J10" i="6"/>
  <c r="I10" i="6"/>
  <c r="K10" i="6" s="1"/>
  <c r="J9" i="6"/>
  <c r="I9" i="6"/>
  <c r="K9" i="6" s="1"/>
  <c r="J8" i="6"/>
  <c r="I8" i="6"/>
  <c r="K8" i="6" s="1"/>
  <c r="K7" i="6"/>
  <c r="J7" i="6"/>
  <c r="I7" i="6"/>
  <c r="J6" i="6"/>
  <c r="I6" i="6"/>
  <c r="K6" i="6" s="1"/>
  <c r="K5" i="6"/>
  <c r="J5" i="6"/>
  <c r="I5" i="6"/>
  <c r="J4" i="6"/>
  <c r="T34" i="5"/>
  <c r="Q34" i="5"/>
  <c r="P34" i="5"/>
  <c r="R34" i="5" s="1"/>
  <c r="O34" i="5"/>
  <c r="N34" i="5"/>
  <c r="M34" i="5"/>
  <c r="K34" i="5"/>
  <c r="T33" i="5"/>
  <c r="Q33" i="5"/>
  <c r="P33" i="5"/>
  <c r="R33" i="5" s="1"/>
  <c r="O33" i="5"/>
  <c r="N33" i="5"/>
  <c r="M33" i="5"/>
  <c r="K33" i="5"/>
  <c r="T32" i="5"/>
  <c r="Q32" i="5"/>
  <c r="P32" i="5"/>
  <c r="R32" i="5" s="1"/>
  <c r="O32" i="5"/>
  <c r="N32" i="5"/>
  <c r="M32" i="5"/>
  <c r="K32" i="5"/>
  <c r="T31" i="5"/>
  <c r="Q31" i="5"/>
  <c r="P31" i="5"/>
  <c r="R31" i="5" s="1"/>
  <c r="O31" i="5"/>
  <c r="N31" i="5"/>
  <c r="M31" i="5"/>
  <c r="K31" i="5"/>
  <c r="T30" i="5"/>
  <c r="Q30" i="5"/>
  <c r="P30" i="5"/>
  <c r="R30" i="5" s="1"/>
  <c r="O30" i="5"/>
  <c r="N30" i="5"/>
  <c r="M30" i="5"/>
  <c r="K30" i="5"/>
  <c r="T29" i="5"/>
  <c r="Q29" i="5"/>
  <c r="P29" i="5"/>
  <c r="R29" i="5" s="1"/>
  <c r="O29" i="5"/>
  <c r="N29" i="5"/>
  <c r="M29" i="5"/>
  <c r="K29" i="5"/>
  <c r="T28" i="5"/>
  <c r="Q28" i="5"/>
  <c r="P28" i="5"/>
  <c r="R28" i="5" s="1"/>
  <c r="O28" i="5"/>
  <c r="N28" i="5"/>
  <c r="M28" i="5"/>
  <c r="K28" i="5"/>
  <c r="T27" i="5"/>
  <c r="Q27" i="5"/>
  <c r="P27" i="5"/>
  <c r="R27" i="5" s="1"/>
  <c r="O27" i="5"/>
  <c r="N27" i="5"/>
  <c r="M27" i="5"/>
  <c r="K27" i="5"/>
  <c r="T26" i="5"/>
  <c r="Q26" i="5"/>
  <c r="P26" i="5"/>
  <c r="R26" i="5" s="1"/>
  <c r="O26" i="5"/>
  <c r="N26" i="5"/>
  <c r="M26" i="5"/>
  <c r="K26" i="5"/>
  <c r="T25" i="5"/>
  <c r="Q25" i="5"/>
  <c r="P25" i="5"/>
  <c r="R25" i="5" s="1"/>
  <c r="O25" i="5"/>
  <c r="N25" i="5"/>
  <c r="M25" i="5"/>
  <c r="K25" i="5"/>
  <c r="T24" i="5"/>
  <c r="Q24" i="5"/>
  <c r="P24" i="5"/>
  <c r="R24" i="5" s="1"/>
  <c r="O24" i="5"/>
  <c r="N24" i="5"/>
  <c r="M24" i="5"/>
  <c r="K24" i="5"/>
  <c r="T23" i="5"/>
  <c r="Q23" i="5"/>
  <c r="P23" i="5"/>
  <c r="R23" i="5" s="1"/>
  <c r="O23" i="5"/>
  <c r="N23" i="5"/>
  <c r="M23" i="5"/>
  <c r="K23" i="5"/>
  <c r="T22" i="5"/>
  <c r="Q22" i="5"/>
  <c r="P22" i="5"/>
  <c r="R22" i="5" s="1"/>
  <c r="O22" i="5"/>
  <c r="N22" i="5"/>
  <c r="M22" i="5"/>
  <c r="K22" i="5"/>
  <c r="T21" i="5"/>
  <c r="Q21" i="5"/>
  <c r="P21" i="5"/>
  <c r="R21" i="5" s="1"/>
  <c r="O21" i="5"/>
  <c r="N21" i="5"/>
  <c r="M21" i="5"/>
  <c r="K21" i="5"/>
  <c r="T20" i="5"/>
  <c r="Q20" i="5"/>
  <c r="P20" i="5"/>
  <c r="R20" i="5" s="1"/>
  <c r="O20" i="5"/>
  <c r="N20" i="5"/>
  <c r="M20" i="5"/>
  <c r="K20" i="5"/>
  <c r="T19" i="5"/>
  <c r="Q19" i="5"/>
  <c r="P19" i="5"/>
  <c r="R19" i="5" s="1"/>
  <c r="O19" i="5"/>
  <c r="N19" i="5"/>
  <c r="M19" i="5"/>
  <c r="K19" i="5"/>
  <c r="T18" i="5"/>
  <c r="Q18" i="5"/>
  <c r="P18" i="5"/>
  <c r="R18" i="5" s="1"/>
  <c r="O18" i="5"/>
  <c r="N18" i="5"/>
  <c r="M18" i="5"/>
  <c r="K18" i="5"/>
  <c r="T17" i="5"/>
  <c r="Q17" i="5"/>
  <c r="P17" i="5"/>
  <c r="R17" i="5" s="1"/>
  <c r="O17" i="5"/>
  <c r="N17" i="5"/>
  <c r="M17" i="5"/>
  <c r="K17" i="5"/>
  <c r="T16" i="5"/>
  <c r="Q16" i="5"/>
  <c r="P16" i="5"/>
  <c r="R16" i="5" s="1"/>
  <c r="O16" i="5"/>
  <c r="N16" i="5"/>
  <c r="M16" i="5"/>
  <c r="K16" i="5"/>
  <c r="T15" i="5"/>
  <c r="Q15" i="5"/>
  <c r="P15" i="5"/>
  <c r="R15" i="5" s="1"/>
  <c r="O15" i="5"/>
  <c r="N15" i="5"/>
  <c r="M15" i="5"/>
  <c r="K15" i="5"/>
  <c r="T14" i="5"/>
  <c r="Q14" i="5"/>
  <c r="P14" i="5"/>
  <c r="R14" i="5" s="1"/>
  <c r="O14" i="5"/>
  <c r="N14" i="5"/>
  <c r="M14" i="5"/>
  <c r="K14" i="5"/>
  <c r="T13" i="5"/>
  <c r="Q13" i="5"/>
  <c r="P13" i="5"/>
  <c r="R13" i="5" s="1"/>
  <c r="O13" i="5"/>
  <c r="N13" i="5"/>
  <c r="M13" i="5"/>
  <c r="K13" i="5"/>
  <c r="T12" i="5"/>
  <c r="Q12" i="5"/>
  <c r="P12" i="5"/>
  <c r="R12" i="5" s="1"/>
  <c r="O12" i="5"/>
  <c r="N12" i="5"/>
  <c r="M12" i="5"/>
  <c r="K12" i="5"/>
  <c r="T11" i="5"/>
  <c r="Q11" i="5"/>
  <c r="P11" i="5"/>
  <c r="R11" i="5" s="1"/>
  <c r="O11" i="5"/>
  <c r="N11" i="5"/>
  <c r="M11" i="5"/>
  <c r="K11" i="5"/>
  <c r="T10" i="5"/>
  <c r="Q10" i="5"/>
  <c r="P10" i="5"/>
  <c r="R10" i="5" s="1"/>
  <c r="O10" i="5"/>
  <c r="N10" i="5"/>
  <c r="M10" i="5"/>
  <c r="K10" i="5"/>
  <c r="Q9" i="5"/>
  <c r="P9" i="5"/>
  <c r="R9" i="5" s="1"/>
  <c r="N9" i="5"/>
  <c r="K9" i="5"/>
  <c r="Q8" i="5"/>
  <c r="P8" i="5"/>
  <c r="R8" i="5" s="1"/>
  <c r="N8" i="5"/>
  <c r="K8" i="5"/>
  <c r="T7" i="5"/>
  <c r="Q7" i="5"/>
  <c r="P7" i="5"/>
  <c r="R7" i="5" s="1"/>
  <c r="N7" i="5"/>
  <c r="K7" i="5"/>
  <c r="T6" i="5"/>
  <c r="Q6" i="5"/>
  <c r="P6" i="5"/>
  <c r="R6" i="5" s="1"/>
  <c r="N6" i="5"/>
  <c r="K6" i="5"/>
  <c r="Q5" i="5"/>
  <c r="P5" i="5"/>
  <c r="R5" i="5" s="1"/>
  <c r="N5" i="5"/>
  <c r="K5" i="5"/>
  <c r="P43" i="4"/>
  <c r="N43" i="4"/>
  <c r="M43" i="4"/>
  <c r="O43" i="4" s="1"/>
  <c r="P42" i="4"/>
  <c r="O42" i="4"/>
  <c r="N42" i="4"/>
  <c r="M42" i="4"/>
  <c r="P41" i="4"/>
  <c r="N41" i="4"/>
  <c r="M41" i="4"/>
  <c r="O41" i="4" s="1"/>
  <c r="P40" i="4"/>
  <c r="N40" i="4"/>
  <c r="M40" i="4"/>
  <c r="O40" i="4" s="1"/>
  <c r="P39" i="4"/>
  <c r="N39" i="4"/>
  <c r="M39" i="4"/>
  <c r="O39" i="4" s="1"/>
  <c r="P38" i="4"/>
  <c r="N38" i="4"/>
  <c r="M38" i="4"/>
  <c r="O38" i="4" s="1"/>
  <c r="P37" i="4"/>
  <c r="N37" i="4"/>
  <c r="M37" i="4"/>
  <c r="O37" i="4" s="1"/>
  <c r="P36" i="4"/>
  <c r="N36" i="4"/>
  <c r="M36" i="4"/>
  <c r="O36" i="4" s="1"/>
  <c r="P35" i="4"/>
  <c r="N35" i="4"/>
  <c r="M35" i="4"/>
  <c r="O35" i="4" s="1"/>
  <c r="P34" i="4"/>
  <c r="O34" i="4"/>
  <c r="N34" i="4"/>
  <c r="M34" i="4"/>
  <c r="P33" i="4"/>
  <c r="N33" i="4"/>
  <c r="M33" i="4"/>
  <c r="O33" i="4" s="1"/>
  <c r="P32" i="4"/>
  <c r="N32" i="4"/>
  <c r="M32" i="4"/>
  <c r="O32" i="4" s="1"/>
  <c r="P31" i="4"/>
  <c r="N31" i="4"/>
  <c r="M31" i="4"/>
  <c r="O31" i="4" s="1"/>
  <c r="P30" i="4"/>
  <c r="N30" i="4"/>
  <c r="M30" i="4"/>
  <c r="O30" i="4" s="1"/>
  <c r="P29" i="4"/>
  <c r="N29" i="4"/>
  <c r="M29" i="4"/>
  <c r="O29" i="4" s="1"/>
  <c r="P28" i="4"/>
  <c r="N28" i="4"/>
  <c r="M28" i="4"/>
  <c r="O28" i="4" s="1"/>
  <c r="P27" i="4"/>
  <c r="N27" i="4"/>
  <c r="M27" i="4"/>
  <c r="O27" i="4" s="1"/>
  <c r="P26" i="4"/>
  <c r="N26" i="4"/>
  <c r="M26" i="4"/>
  <c r="O26" i="4" s="1"/>
  <c r="P25" i="4"/>
  <c r="N25" i="4"/>
  <c r="M25" i="4"/>
  <c r="O25" i="4" s="1"/>
  <c r="P24" i="4"/>
  <c r="N24" i="4"/>
  <c r="M24" i="4"/>
  <c r="O24" i="4" s="1"/>
  <c r="P23" i="4"/>
  <c r="N23" i="4"/>
  <c r="M23" i="4"/>
  <c r="O23" i="4" s="1"/>
  <c r="P22" i="4"/>
  <c r="N22" i="4"/>
  <c r="M22" i="4"/>
  <c r="O22" i="4" s="1"/>
  <c r="P21" i="4"/>
  <c r="N21" i="4"/>
  <c r="M21" i="4"/>
  <c r="O21" i="4" s="1"/>
  <c r="P20" i="4"/>
  <c r="O20" i="4"/>
  <c r="N20" i="4"/>
  <c r="M20" i="4"/>
  <c r="P19" i="4"/>
  <c r="N19" i="4"/>
  <c r="M19" i="4"/>
  <c r="O19" i="4" s="1"/>
  <c r="P18" i="4"/>
  <c r="N18" i="4"/>
  <c r="M18" i="4"/>
  <c r="O18" i="4" s="1"/>
  <c r="P17" i="4"/>
  <c r="N17" i="4"/>
  <c r="M17" i="4"/>
  <c r="O17" i="4" s="1"/>
  <c r="P16" i="4"/>
  <c r="N16" i="4"/>
  <c r="M16" i="4"/>
  <c r="O16" i="4" s="1"/>
  <c r="P15" i="4"/>
  <c r="N15" i="4"/>
  <c r="M15" i="4"/>
  <c r="O15" i="4" s="1"/>
  <c r="P14" i="4"/>
  <c r="N14" i="4"/>
  <c r="M14" i="4"/>
  <c r="O14" i="4" s="1"/>
  <c r="P13" i="4"/>
  <c r="N13" i="4"/>
  <c r="M13" i="4"/>
  <c r="O13" i="4" s="1"/>
  <c r="P12" i="4"/>
  <c r="N12" i="4"/>
  <c r="M12" i="4"/>
  <c r="O12" i="4" s="1"/>
  <c r="P11" i="4"/>
  <c r="N11" i="4"/>
  <c r="M11" i="4"/>
  <c r="O11" i="4" s="1"/>
  <c r="P10" i="4"/>
  <c r="N10" i="4"/>
  <c r="M10" i="4"/>
  <c r="O10" i="4" s="1"/>
  <c r="P9" i="4"/>
  <c r="N9" i="4"/>
  <c r="M9" i="4"/>
  <c r="O9" i="4" s="1"/>
  <c r="P8" i="4"/>
  <c r="N8" i="4"/>
  <c r="M8" i="4"/>
  <c r="O8" i="4" s="1"/>
  <c r="P7" i="4"/>
  <c r="N7" i="4"/>
  <c r="M7" i="4"/>
  <c r="O7" i="4" s="1"/>
  <c r="P6" i="4"/>
  <c r="N6" i="4"/>
  <c r="M6" i="4"/>
  <c r="O6" i="4" s="1"/>
  <c r="P5" i="4"/>
  <c r="N5" i="4"/>
  <c r="M5" i="4"/>
  <c r="O5" i="4" s="1"/>
  <c r="P4" i="4"/>
  <c r="N4" i="4"/>
  <c r="M4" i="4"/>
  <c r="O4" i="4" s="1"/>
  <c r="O45" i="3"/>
  <c r="O44" i="3"/>
  <c r="O43" i="3"/>
  <c r="O42" i="3"/>
  <c r="O41" i="3"/>
  <c r="O40" i="3"/>
  <c r="O38" i="3"/>
  <c r="O34" i="3"/>
  <c r="O33" i="3"/>
  <c r="O32" i="3"/>
  <c r="O31" i="3"/>
  <c r="O30" i="3"/>
  <c r="O29" i="3"/>
  <c r="O27" i="3"/>
  <c r="O26" i="3"/>
  <c r="O25" i="3"/>
  <c r="O24" i="3"/>
  <c r="O23" i="3"/>
  <c r="O22" i="3"/>
  <c r="O21" i="3"/>
  <c r="O19" i="3"/>
  <c r="O18" i="3"/>
  <c r="O17" i="3"/>
  <c r="A17" i="3"/>
  <c r="O16" i="3"/>
  <c r="O15" i="3"/>
  <c r="O14" i="3"/>
  <c r="O13" i="3"/>
  <c r="O12" i="3"/>
  <c r="I12" i="3"/>
  <c r="E12" i="3"/>
  <c r="A12" i="3"/>
  <c r="O11" i="3"/>
  <c r="O10" i="3"/>
  <c r="O9" i="3"/>
  <c r="A9" i="3"/>
  <c r="O8" i="3"/>
  <c r="O7" i="3"/>
  <c r="O6" i="3"/>
  <c r="I6" i="3"/>
  <c r="E6" i="3"/>
  <c r="A6" i="3"/>
  <c r="O5" i="3"/>
  <c r="O4" i="3"/>
  <c r="I9" i="3" l="1"/>
  <c r="M45" i="7"/>
  <c r="N45" i="7" s="1"/>
  <c r="T8" i="5"/>
  <c r="D14" i="11"/>
  <c r="D30" i="11"/>
  <c r="D26" i="11"/>
  <c r="D13" i="11"/>
  <c r="D12" i="11"/>
  <c r="D27" i="11"/>
  <c r="D23" i="11"/>
  <c r="D11" i="11"/>
  <c r="D10" i="11"/>
  <c r="F10" i="11" s="1"/>
  <c r="I10" i="11" s="1"/>
  <c r="J10" i="11" s="1"/>
  <c r="H3" i="7"/>
  <c r="D28" i="11"/>
  <c r="D24" i="11"/>
  <c r="D17" i="11"/>
  <c r="D16" i="11"/>
  <c r="D8" i="11"/>
  <c r="D29" i="11"/>
  <c r="D25" i="11"/>
  <c r="D15" i="11"/>
  <c r="D7" i="11"/>
  <c r="T5" i="5"/>
  <c r="E30" i="11"/>
  <c r="K3" i="7"/>
  <c r="E9" i="11"/>
  <c r="E16" i="11"/>
  <c r="T9" i="5"/>
  <c r="D9" i="11"/>
  <c r="D18" i="11" s="1"/>
  <c r="F12" i="12"/>
  <c r="L45" i="7"/>
  <c r="G19" i="9"/>
  <c r="E6" i="11"/>
  <c r="C8" i="11"/>
  <c r="F8" i="11" s="1"/>
  <c r="I8" i="11" s="1"/>
  <c r="J8" i="11" s="1"/>
  <c r="B9" i="11"/>
  <c r="E14" i="11"/>
  <c r="C16" i="11"/>
  <c r="F16" i="11" s="1"/>
  <c r="I16" i="11" s="1"/>
  <c r="J16" i="11" s="1"/>
  <c r="B17" i="11"/>
  <c r="B24" i="11"/>
  <c r="B28" i="11"/>
  <c r="B13" i="12"/>
  <c r="B21" i="12"/>
  <c r="C10" i="13"/>
  <c r="E7" i="11"/>
  <c r="C9" i="11"/>
  <c r="F9" i="11" s="1"/>
  <c r="I9" i="11" s="1"/>
  <c r="J9" i="11" s="1"/>
  <c r="B10" i="11"/>
  <c r="E15" i="11"/>
  <c r="C17" i="11"/>
  <c r="C24" i="11"/>
  <c r="E25" i="11"/>
  <c r="C28" i="11"/>
  <c r="E29" i="11"/>
  <c r="C13" i="13"/>
  <c r="B23" i="11"/>
  <c r="B27" i="11"/>
  <c r="C8" i="13"/>
  <c r="C16" i="13"/>
  <c r="E44" i="8"/>
  <c r="C11" i="11"/>
  <c r="B12" i="11"/>
  <c r="E17" i="11"/>
  <c r="C23" i="11"/>
  <c r="E24" i="11"/>
  <c r="C27" i="11"/>
  <c r="E28" i="11"/>
  <c r="F5" i="12"/>
  <c r="E9" i="3" s="1"/>
  <c r="B14" i="12"/>
  <c r="B22" i="12"/>
  <c r="C11" i="13"/>
  <c r="E45" i="8"/>
  <c r="E10" i="11"/>
  <c r="C12" i="11"/>
  <c r="B13" i="11"/>
  <c r="B26" i="11"/>
  <c r="B30" i="11"/>
  <c r="C6" i="13"/>
  <c r="C14" i="13"/>
  <c r="B6" i="11"/>
  <c r="E11" i="11"/>
  <c r="C13" i="11"/>
  <c r="B14" i="11"/>
  <c r="E23" i="11"/>
  <c r="C26" i="11"/>
  <c r="E27" i="11"/>
  <c r="C30" i="11"/>
  <c r="C9" i="13"/>
  <c r="C17" i="13"/>
  <c r="O20" i="3"/>
  <c r="O28" i="3"/>
  <c r="O39" i="3"/>
  <c r="M5" i="5"/>
  <c r="O5" i="5" s="1"/>
  <c r="M6" i="5"/>
  <c r="O6" i="5" s="1"/>
  <c r="M7" i="5"/>
  <c r="O7" i="5" s="1"/>
  <c r="M8" i="5"/>
  <c r="O8" i="5" s="1"/>
  <c r="M9" i="5"/>
  <c r="O9" i="5" s="1"/>
  <c r="C6" i="11"/>
  <c r="B7" i="11"/>
  <c r="E12" i="11"/>
  <c r="C14" i="11"/>
  <c r="F14" i="11" s="1"/>
  <c r="I14" i="11" s="1"/>
  <c r="J14" i="11" s="1"/>
  <c r="B15" i="11"/>
  <c r="B25" i="11"/>
  <c r="B29" i="11"/>
  <c r="C12" i="13"/>
  <c r="B8" i="11"/>
  <c r="E13" i="11"/>
  <c r="C15" i="11"/>
  <c r="F15" i="11" s="1"/>
  <c r="I15" i="11" s="1"/>
  <c r="J15" i="11" s="1"/>
  <c r="B16" i="11"/>
  <c r="C25" i="11"/>
  <c r="F25" i="11" s="1"/>
  <c r="G25" i="11" s="1"/>
  <c r="E26" i="11"/>
  <c r="C29" i="11"/>
  <c r="F29" i="11" s="1"/>
  <c r="G29" i="11" s="1"/>
  <c r="C7" i="13"/>
  <c r="F30" i="11" l="1"/>
  <c r="G30" i="11" s="1"/>
  <c r="C18" i="13"/>
  <c r="F26" i="11"/>
  <c r="G26" i="11" s="1"/>
  <c r="F11" i="11"/>
  <c r="I11" i="11" s="1"/>
  <c r="J11" i="11" s="1"/>
  <c r="F28" i="11"/>
  <c r="G28" i="11" s="1"/>
  <c r="E11" i="13"/>
  <c r="D11" i="13"/>
  <c r="F7" i="11"/>
  <c r="I7" i="11" s="1"/>
  <c r="J7" i="11" s="1"/>
  <c r="F24" i="11"/>
  <c r="G24" i="11" s="1"/>
  <c r="E18" i="11"/>
  <c r="L3" i="7"/>
  <c r="M3" i="7" s="1"/>
  <c r="N3" i="7" s="1"/>
  <c r="F13" i="11"/>
  <c r="I13" i="11" s="1"/>
  <c r="J13" i="11" s="1"/>
  <c r="F12" i="11"/>
  <c r="I12" i="11" s="1"/>
  <c r="J12" i="11" s="1"/>
  <c r="F27" i="11"/>
  <c r="G27" i="11" s="1"/>
  <c r="F17" i="11"/>
  <c r="I17" i="11" s="1"/>
  <c r="J17" i="11" s="1"/>
  <c r="C18" i="11"/>
  <c r="F6" i="11"/>
  <c r="B18" i="11"/>
  <c r="F23" i="11"/>
  <c r="G23" i="11" s="1"/>
  <c r="F18" i="11" l="1"/>
  <c r="I6" i="11"/>
  <c r="E18" i="13"/>
  <c r="D18" i="13"/>
  <c r="J6" i="11" l="1"/>
  <c r="I18" i="11"/>
  <c r="J1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T4" authorId="0" shapeId="0" xr:uid="{00000000-0006-0000-0400-000001000000}">
      <text>
        <r>
          <rPr>
            <sz val="10"/>
            <rFont val="Arial"/>
            <family val="2"/>
          </rPr>
          <t>GIÁ VỐN BÌNH QUÂN (chỉ tham khảo)
= Tổng tiền đã nhập ÷ Tổng số lượng đã nhập của mặt hàng này
(gộp tất cả các lô, các nhà cung cấp) — lấy từ sheet NHẬP HÀNG.
Dùng để đối chiếu khi định giá bán hoặc điền giá vốn cho đơn. Giá vốn/giá bán thật vẫn nhập tay từng đơn (vì đổi theo lô &amp; theo khách).</t>
        </r>
      </text>
    </comment>
  </commentList>
</comments>
</file>

<file path=xl/sharedStrings.xml><?xml version="1.0" encoding="utf-8"?>
<sst xmlns="http://schemas.openxmlformats.org/spreadsheetml/2006/main" count="551" uniqueCount="431">
  <si>
    <t>HƯỚNG DẪN SỬ DỤNG  —  TÊN CỬA HÀNG</t>
  </si>
  <si>
    <t>« MỤC LỤC</t>
  </si>
  <si>
    <t>MẬT KHẨU mở khoá cấu trúc: hudibarcode   —   chỉ cần khi muốn thêm / xoá / đổi tên sheet (vào Review › Protect Workbook)</t>
  </si>
  <si>
    <t>① QUY TRÌNH HẰNG NGÀY</t>
  </si>
  <si>
    <t>Có đơn bán</t>
  </si>
  <si>
    <t>Mở ĐƠN HÀNG, ghi 1 dòng. Chọn Khách hàng và Sản phẩm từ danh sách (dropdown). Nhập SL, doanh thu, giá vốn, phí — Lợi nhuận tự tính.</t>
  </si>
  <si>
    <t>Nhập hàng về</t>
  </si>
  <si>
    <t>Mở NHẬP HÀNG, ghi 1 dòng. Gõ MÃ hoặc chọn TÊN ở cột "Mã / Tên hàng" — Mã SP, Tên, Giá bán, Mã vạch tự hiện ở 4 cột cam bên phải để IN TEM (xem mục ⑧). Chọn Nhà cung cấp; còn nợ thì Trạng thái chọn "Chưa trả".</t>
  </si>
  <si>
    <t>Có chi phí</t>
  </si>
  <si>
    <t>Mở CHI PHÍ. Chi phí định kỳ ghi ở bảng ①; phát sinh ghi bảng ②. Đầu mỗi tháng ghi tổng chi phí cố định tháng đó vào bảng ③.</t>
  </si>
  <si>
    <t>Liên hệ khách</t>
  </si>
  <si>
    <t>Mở THEO DÕI, ghi lại nội dung &amp; giai đoạn. Đặt 'Hẹn ngày' để được nhắc khi quá hạn.</t>
  </si>
  <si>
    <t>② XEM BÁO CÁO</t>
  </si>
  <si>
    <t>Bảng điều khiển</t>
  </si>
  <si>
    <t>Tổng quan nhanh: doanh thu, lợi nhuận, công nợ, hàng sắp hết. Đổi tháng/năm ở ô vàng.</t>
  </si>
  <si>
    <t>Tổng hợp</t>
  </si>
  <si>
    <t>Lãi/lỗ ròng theo từng tháng và theo kênh bán. Chọn năm ở ô vàng (năm tự thêm khi có đơn).</t>
  </si>
  <si>
    <t>Công nợ / Mục tiêu</t>
  </si>
  <si>
    <t>Công nợ: ai nợ mình, mình nợ ai. Mục tiêu: đặt mục tiêu doanh thu, so với thực tế.</t>
  </si>
  <si>
    <t>③ Ý NGHĨA MÀU Ô</t>
  </si>
  <si>
    <t>Ô VÀNG</t>
  </si>
  <si>
    <t>Anh nhập tay vào đây.</t>
  </si>
  <si>
    <t>Ô XÁM</t>
  </si>
  <si>
    <t>Tự động tính — không gõ đè.</t>
  </si>
  <si>
    <t>ĐỎ / HỒNG</t>
  </si>
  <si>
    <t>Cảnh báo: hết hàng, công nợ, hẹn quá hạn, trùng dữ liệu.</t>
  </si>
  <si>
    <t>CAM</t>
  </si>
  <si>
    <t>Chú ý: hàng sắp hết (≤5), chưa đạt mục tiêu.</t>
  </si>
  <si>
    <t>XANH</t>
  </si>
  <si>
    <t>Tốt: đã đạt mục tiêu, đã trả, đã chốt đơn.</t>
  </si>
  <si>
    <t>④ QUY TẮC LIÊN KẾT (quan trọng)</t>
  </si>
  <si>
    <t>Luôn chọn từ danh sách</t>
  </si>
  <si>
    <t>Khách hàng, Sản phẩm, Nhà cung cấp phải CHỌN từ dropdown (không gõ tên khác) thì số liệu mới tự gom đúng về hồ sơ.</t>
  </si>
  <si>
    <t>Khai báo trước</t>
  </si>
  <si>
    <t>Thêm Khách / Sản phẩm / NCC vào sheet danh mục TRƯỚC, rồi mới chọn ở Đơn hàng, Nhập hàng.</t>
  </si>
  <si>
    <t>⑤ KHI CẦN THÊM CỘT / SỬA CẤU TRÚC</t>
  </si>
  <si>
    <t>Bỏ khóa tạm</t>
  </si>
  <si>
    <t>Vào thẻ Review (Xem lại) → Unprotect Sheet (Bỏ bảo vệ trang) — KHÔNG cần mật khẩu. Sửa xong bấm Protect Sheet để khóa lại.</t>
  </si>
  <si>
    <t>Ô vàng luôn nhập được</t>
  </si>
  <si>
    <t>Khi đang khóa, các ô vàng vẫn gõ bình thường, chỉ ô công thức bị khóa chống sửa nhầm.</t>
  </si>
  <si>
    <t>⑥ LƯU Ý</t>
  </si>
  <si>
    <t>Chi phí cố định</t>
  </si>
  <si>
    <t>Mỗi tháng kinh doanh nhớ ghi chi phí cố định (CHI PHÍ bảng ③), nếu quên thì lợi nhuận ròng tháng đó bị ảo cao.</t>
  </si>
  <si>
    <t>Số mẫu</t>
  </si>
  <si>
    <t>Các số mẫu trong file (giá vốn, tồn đầu, mục tiêu, NCC...) hãy thay bằng số thật của cửa hàng.</t>
  </si>
  <si>
    <t>⑦ SỬA DANH SÁCH XỔ XUỐNG (DROPDOWN)</t>
  </si>
  <si>
    <t>Có 2 loại danh sách</t>
  </si>
  <si>
    <t>Các ô có mũi tên xổ xuống chia làm 2 loại, sửa theo 2 cách khác nhau. (1) Loại TỰ CẬP NHẬT: Khách hàng, Sản phẩm, Nhà cung cấp. (2) Loại CỐ ĐỊNH gõ sẵn: Kênh bán, Thanh toán, Trạng thái, Đơn vị tính, Nhóm hàng, Ribbon, Nguồn, Giai đoạn...</t>
  </si>
  <si>
    <t>① Khách · Sản phẩm · NCC
(tự cập nhật)</t>
  </si>
  <si>
    <t>KHÔNG cần thao tác kỹ thuật. Muốn THÊM: mở sheet KHÁCH HÀNG / HÀNG HOÁ / NHÀ CUNG CẤP rồi gõ tên mới vào dòng trống tiếp theo — tên vừa gõ tự xuất hiện trong ô xổ xuống ở Đơn hàng, Nhập hàng. Muốn SỬA hoặc XÓA: làm ngay tại sheet danh mục đó. Danh sách tự dài ra theo số dòng, thêm bao nhiêu cũng được.</t>
  </si>
  <si>
    <t>Lưu ý: gõ liền dòng</t>
  </si>
  <si>
    <t>Phải gõ liên tục từ trên xuống, KHÔNG bỏ trống một dòng ở giữa. Nếu để trống dòng giữa rồi gõ tiếp bên dưới, phần tên bên dưới có thể không hiện ra trong ô xổ xuống.</t>
  </si>
  <si>
    <t>② Kênh bán, Thanh toán...
(danh sách cố định)</t>
  </si>
  <si>
    <t>Đây là danh sách gõ cứng. Muốn thêm/bớt lựa chọn (ví dụ thêm kênh "TikTok Shop"): B1) Thẻ Review (Xem lại) → bấm Unprotect Sheet (Bỏ bảo vệ trang), không cần mật khẩu. B2) Bấm vào ô có mũi tên cần sửa. B3) Thẻ Data (Dữ liệu) → Data Validation (Xác thực dữ liệu). B4) Ở ô Source (Nguồn), sửa danh sách — các lựa chọn cách nhau bằng dấu PHẨY, ví dụ: Đã thu,Chưa thu,Đã cọc,COD. B5) Bấm OK, rồi bấm Protect Sheet để khóa lại.</t>
  </si>
  <si>
    <t>Máy tính &amp; điện thoại</t>
  </si>
  <si>
    <t>Việc sửa danh sách chỉ nên làm trên MÁY TÍNH. Trên điện thoại chỉ nên CHỌN sẵn từ danh sách, không sửa cấu trúc. Nếu mở bằng Google Trang tính (Google Sheets): danh sách cố định sửa ở Dữ liệu → Xác thực dữ liệu; danh sách Khách/SP/NCC vẫn tự cập nhật như trên Excel.</t>
  </si>
  <si>
    <t>⑧ IN TEM NHÃN MÃ VẠCH TỪ EXCEL</t>
  </si>
  <si>
    <t>Vùng in tem nằm ở đâu</t>
  </si>
  <si>
    <t>Trong sheet NHẬP HÀNG, 4 cột bên phải nền CAM: Mã SP · Tên hàng · Giá bán · Mã vạch (Code 39). Bạn chỉ nhập ở cột "Mã / Tên hàng", 4 cột cam này TỰ điền — đây là vùng để in tem.</t>
  </si>
  <si>
    <t>Nhập được cả 2 chiều</t>
  </si>
  <si>
    <t>GÕ MÃ (ví dụ SP-001) → tự ra Tên hàng + Giá bán. Hoặc CHỌN TÊN từ danh sách xổ xuống → tự ra Mã SP + Giá bán. Nếu gõ sai mã/tên, cột Tên hàng sẽ báo đỏ "Không tìm thấy". Mã SP và Giá bán được lấy từ sheet HÀNG HOÁ &amp; KHO.</t>
  </si>
  <si>
    <t>Cách 1 — Phần mềm in tem</t>
  </si>
  <si>
    <t>Bôi đen 3 cột Mã SP · Tên hàng · Giá bán → Copy → dán vào phần mềm in tem đi kèm máy (ví dụ BarTender, NiceLabel, hoặc phần mềm của máy in tem bạn đang dùng). Phần mềm sẽ tự tạo mã vạch từ cột Mã SP. Đây là cách cho ra tem đẹp và chuẩn nhất.</t>
  </si>
  <si>
    <t>Cách 2 — In ngay trong Excel</t>
  </si>
  <si>
    <t>B1) Tải &amp; cài font mã vạch Code 39 miễn phí (ví dụ "Libre Barcode 39" của Google Fonts, hoặc "Free 3 of 9"). B2) Bôi đen cột "Mã vạch (Code 39)" → đổi sang font vừa cài, cỡ chữ khoảng 28–36 → chuỗi *SP-001* sẽ hiện thành vạch. B3) In. Nên để cột Mã SP (chữ thường) ngay dưới vạch để người đọc thấy mã.</t>
  </si>
  <si>
    <t>Quy tắc đặt Mã SP</t>
  </si>
  <si>
    <t>Code 39 chỉ đọc được CHỮ IN HOA, số và dấu gạch ngang. Đặt mã ngắn, không dấu tiếng Việt, không khoảng trắng (ví dụ SP-001, GIAY-K80). Mỗi sản phẩm 1 mã CỐ ĐỊNH — khai ở cột "Mã SP" trong sheet HÀNG HOÁ &amp; KHO, dùng mãi mã đó để tem không bị trùng/lệch.</t>
  </si>
  <si>
    <t>⑨ SỬA Ở ĐÂU — CHỈ DẪN CHO TỪNG SHEET (quan trọng khi mới tải về)</t>
  </si>
  <si>
    <t>★ NGUYÊN TẮC VÀNG</t>
  </si>
  <si>
    <t>Ô VÀNG = bạn nhập tay. Ô XÁM = máy tự tính, ĐỪNG gõ đè. Xóa dữ liệu: bôi đen ô rồi bấm Delete. ĐỪNG bấm chuột phải › Xóa cả dòng/cột và ĐỪNG xóa dòng tiêu đề — sẽ vỡ công thức. Muốn xóa hết số liệu mẫu: bôi đen vùng ô vàng và bấm Delete, giữ nguyên tiêu đề + ô xám. | ĐỪNG xoá, đổi tên hay kéo di chuyển sheet ở thanh tab phía dưới — công thức liên kết giữa các sheet sẽ hỏng. File đã KHOÁ CẤU TRÚC để chống xoá nhầm. Khi cần thêm/bớt/đổi tên sheet: vào thẻ Review (Xem lại) › Protect Workbook (Bảo vệ cấu trúc), nhập mật khẩu: hudibarcode để mở khoá.</t>
  </si>
  <si>
    <t>Đổi tên cửa hàng</t>
  </si>
  <si>
    <t>Tên shop nằm ở dòng tiêu đề trên cùng (dòng 1) của MỖI sheet, chỗ chữ "TÊN CỬA HÀNG". Bấm vào, xóa chữ đó, gõ tên shop của bạn.</t>
  </si>
  <si>
    <t>BẢNG ĐIỀU KHIỂN</t>
  </si>
  <si>
    <t>Chỉ để XEM. Sửa được: ô Tháng và ô Năm ở trên cùng để chọn kỳ xem — số liệu và biểu đồ tự đổi. Đừng sửa các ô số, biểu đồ, và bảng dữ liệu ở cột N–O bên phải (nguồn vẽ biểu đồ).</t>
  </si>
  <si>
    <t>ĐƠN HÀNG</t>
  </si>
  <si>
    <t>Mỗi đơn ghi 1 dòng, từ dòng 5 trở xuống. Nhập: Mã đơn, Ngày, Khách hàng (chọn), Kênh bán (chọn), Sản phẩm (chọn), SL, Doanh thu, Giá vốn, Phí vận chuyển, Phí sàn, Chi phí khác, Thanh toán, Ghi chú. Đừng động: Tổng chi phí, Lợi nhuận, Biên LN % và dòng TỔNG CỘNG ở trên.</t>
  </si>
  <si>
    <t>NHẬP HÀNG</t>
  </si>
  <si>
    <t>Mỗi lần nhập ghi 1 dòng, từ dòng 4. Nhập: Ngày nhập, Mã/Tên hàng (gõ mã hoặc chọn tên), SL nhập, Đơn giá nhập, Nhà cung cấp (chọn), Trạng thái (chọn), Ghi chú. Đừng động: Thành tiền và 4 cột cam in tem (Mã SP · Tên hàng · Giá bán · Mã vạch) — tự hiện.</t>
  </si>
  <si>
    <t>CHI PHÍ (3 bảng)</t>
  </si>
  <si>
    <t>Bảng ① Chi phí cố định: nhập Khoản mục, Nhà cung cấp, Chu kỳ, Số tiền/kỳ, Đến hạn, Trạng thái (cột Quy đổi/tháng tự tính). Bảng ② Chi phí phát sinh: khi có khoản lẻ thì nhập Ngày, Khoản mục, Số tiền, Lý do, Trạng thái. Bảng ③: đầu mỗi tháng ghi Năm + Tháng + tổng chi phí cố định tháng đó. Đừng xóa tiêu đề các bảng.</t>
  </si>
  <si>
    <t>THEO DÕI (CSKH)</t>
  </si>
  <si>
    <t>Nhật ký chăm sóc khách. Mỗi lần liên hệ ghi 1 dòng từ dòng 4. Tất cả các cột đều nhập tay (Ngày, Khách hàng, Người liên hệ, Hình thức, Giai đoạn, Nội dung, Hẹn ngày...). Sheet này không có ô tự tính.</t>
  </si>
  <si>
    <t>TỔNG HỢP</t>
  </si>
  <si>
    <t>Báo cáo lãi/lỗ theo tháng — chỉ XEM. Sửa được duy nhất ô Năm ở trên. Mọi ô còn lại tự tính, đừng sửa.</t>
  </si>
  <si>
    <t>CÔNG NỢ</t>
  </si>
  <si>
    <t>Báo cáo công nợ — chỉ XEM, tự tổng hợp. Không nhập gì ở đây. Muốn báo đã thu/đã trả thì sửa cột Thanh toán ở ĐƠN HÀNG và cột Trạng thái ở NHẬP HÀNG.</t>
  </si>
  <si>
    <t>MỤC TIÊU</t>
  </si>
  <si>
    <t>Đặt mục tiêu doanh thu mỗi tháng. Sửa: ô Năm và cột "Mục tiêu (đ)" cho từng tháng. Đừng động: Thực tế, % đạt, Chênh lệch — tự tính.</t>
  </si>
  <si>
    <t>KHÁCH HÀNG</t>
  </si>
  <si>
    <t>Mỗi khách 1 dòng từ dòng 4. Nhập: Mã KH, Tên, Đơn vị, MST, SĐT, Email, Địa chỉ, Nguồn, Trạng thái, Máy đang dùng, Tem/giấy hay mua, Ribbon, Ghi chú. Đừng động: Số đơn, Tổng đã mua, Mua gần nhất, Cảnh báo — tự tính.</t>
  </si>
  <si>
    <t>HÀNG HOÁ &amp; KHO</t>
  </si>
  <si>
    <t>Mỗi sản phẩm 1 dòng từ dòng 5. Nhập: Tên hàng, Mô tả, Giá bán, Mã SP, Nhóm hàng, Kích thước, ĐVT, Ribbon, Nhà cung cấp, Giá vốn, Tồn đầu, Ghi chú. Đừng động: Lợi nhuận/ĐV, Đã nhập, Đã xuất, Tồn cuối, Đã bán, Doanh thu, Giá vốn BQ. LƯU Ý: Tên hàng và Mã SP ở đây là nguồn cho ô xổ xuống và in tem — đặt xong nên giữ cố định.</t>
  </si>
  <si>
    <t>NHÀ CUNG CẤP</t>
  </si>
  <si>
    <t>Mỗi nhà cung cấp 1 dòng từ dòng 4. Nhập: Mã NCC, Tên, Người liên hệ, SĐT, Email, Địa chỉ, Mặt hàng cung cấp, Điều khoản thanh toán, Ghi chú. Đừng động: Tổng đã nhập, Đang nợ, Nhập gần nhất — tự tính.</t>
  </si>
  <si>
    <t>Khi danh mục đầy</t>
  </si>
  <si>
    <t>Khách hàng / Hàng hoá / Nhà cung cấp: cứ gõ thêm vào dòng trống tiếp theo, ô xổ xuống tự cập nhật, không giới hạn số dòng (xem mục ① và ⑦).</t>
  </si>
  <si>
    <t>⑩ CÀI ĐẶT LẦN ĐẦU — LÀM CÁC BƯỚC NÀY TRƯỚC (theo đúng thứ tự)</t>
  </si>
  <si>
    <t>Vì sao phải theo thứ tự</t>
  </si>
  <si>
    <t>Các sheet Đơn hàng, Nhập hàng, Theo dõi đều CHỌN tên từ danh sách có sẵn. Phải khai danh mục nền (Hàng hoá, Nhà cung cấp, Khách hàng) TRƯỚC thì mới có để chọn. Chọn thay vì gõ tay giúp KHÔNG trùng lặp, không sai chính tả, và số liệu gom về đúng một mối.</t>
  </si>
  <si>
    <t>Bước 1 — Đổi tên &amp; xoá mẫu</t>
  </si>
  <si>
    <t>Đổi chữ "TÊN CỬA HÀNG" ở dòng tiêu đề trên cùng của mỗi sheet thành tên shop của bạn. Xoá dữ liệu ví dụ: ở mỗi sheet bôi đen vùng ô VÀNG đang có số mẫu rồi bấm Delete (giữ nguyên dòng tiêu đề và các ô xám).</t>
  </si>
  <si>
    <t>Bước 2 — Khai HÀNG HOÁ &amp; KHO</t>
  </si>
  <si>
    <t>Mở sheet HÀNG HOÁ &amp; KHO, nhập từng sản phẩm: Tên hàng, Mã SP (ngắn, không dấu — vd SP-001), Giá bán, Giá vốn, ĐVT, Nhóm hàng, và Tồn đầu (số lượng đang có trong kho lúc bắt đầu dùng file). Đây là nền cho ô xổ xuống Sản phẩm và cho việc in tem.</t>
  </si>
  <si>
    <t>Bước 3 — Khai NHÀ CUNG CẤP</t>
  </si>
  <si>
    <t>Mở sheet NHÀ CUNG CẤP, nhập các nơi bạn lấy hàng: Mã NCC, Tên, SĐT/Zalo, Mặt hàng cung cấp, Điều khoản thanh toán. Đây là nền cho ô xổ xuống Nhà cung cấp ở sheet Nhập hàng.</t>
  </si>
  <si>
    <t>Bước 4 — Khai KHÁCH HÀNG</t>
  </si>
  <si>
    <t>Mở sheet KHÁCH HÀNG, nhập khách quen (có thể thêm dần khi bán): Mã KH, Tên, SĐT/Zalo, Nguồn... Đây là nền cho ô xổ xuống Khách hàng ở sheet Đơn hàng và Theo dõi.</t>
  </si>
  <si>
    <t>Bước 5 — Khai CHI PHÍ cố định</t>
  </si>
  <si>
    <t>Mở sheet CHI PHÍ bảng ①, khai các khoản cố định hàng tháng (thuê mặt bằng, điện, nước, internet, phần mềm...). Nếu bỏ qua, báo cáo Lợi nhuận ròng sẽ thiếu phần trừ chi phí. Đầu mỗi tháng, ghi tổng chi phí cố định tháng đó vào bảng ③.</t>
  </si>
  <si>
    <t>Xong nền → dùng hằng ngày</t>
  </si>
  <si>
    <t>Khi đã có danh mục: mỗi đơn bán ghi ở ĐƠN HÀNG, mỗi lần nhập kho ghi ở NHẬP HÀNG, chăm sóc khách ghi ở THEO DÕI — tất cả CHỌN từ danh sách, không gõ lại. Đặt mục tiêu doanh thu ở sheet MỤC TIÊU (tuỳ chọn). Báo cáo ở Bảng điều khiển, Tổng hợp, Công nợ tự chạy.</t>
  </si>
  <si>
    <t>★ Quy tắc tránh trùng lặp</t>
  </si>
  <si>
    <t>ĐỪNG gõ tay tên Khách / tên Hàng / Nhà cung cấp trực tiếp ở Đơn hàng hay Nhập hàng. Luôn CHỌN từ danh sách. Nếu chưa có tên đó, quay lại sheet danh mục thêm 1 dòng rồi mới quay ra chọn — như vậy mỗi tên chỉ có 1 bản duy nhất, số liệu không bị tách đôi.</t>
  </si>
  <si>
    <t>QUẢN LÝ CỬA HÀNG  —  TÊN CỬA HÀNG CỦA BẠN</t>
  </si>
  <si>
    <t>Bấm nút để mở trang.  ·  KHÔNG xoá / đổi tên sheet (tab phía dưới) — sẽ gây lỗi.  ·  Mẫu chia sẻ miễn phí từ hudi.vn</t>
  </si>
  <si>
    <t>★  BẢNG ĐIỀU KHIỂN</t>
  </si>
  <si>
    <t>Tổng quan sức khỏe cửa hàng — mở xem đầu tiên</t>
  </si>
  <si>
    <t>①  LÀM HẰNG NGÀY</t>
  </si>
  <si>
    <t>CHI PHÍ</t>
  </si>
  <si>
    <t>Bán ra &amp; lãi từng đơn</t>
  </si>
  <si>
    <t>Nhập kho, cộng tồn</t>
  </si>
  <si>
    <t>Cố định &amp; phát sinh</t>
  </si>
  <si>
    <t>②  XEM BÁO CÁO</t>
  </si>
  <si>
    <t>Lãi/lỗ ròng theo tháng</t>
  </si>
  <si>
    <t>Phải thu / phải trả</t>
  </si>
  <si>
    <t>Doanh thu mục tiêu/tháng</t>
  </si>
  <si>
    <t>③  KHÁCH, HÀNG &amp; NHÀ CUNG CẤP</t>
  </si>
  <si>
    <t>Hồ sơ &amp; lịch sử mua</t>
  </si>
  <si>
    <t>Danh mục, giá, tồn kho</t>
  </si>
  <si>
    <t>Hồ sơ &amp; công nợ NCC</t>
  </si>
  <si>
    <t>THEO DÕI</t>
  </si>
  <si>
    <t>Liên hệ &amp; tiến trình</t>
  </si>
  <si>
    <t>④  HƯỚNG DẪN SỬ DỤNG</t>
  </si>
  <si>
    <t>HƯỚNG DẪN</t>
  </si>
  <si>
    <t>Cài đặt lần đầu · Sửa ô nào từng sheet · In tem · Sửa dropdown</t>
  </si>
  <si>
    <t>BẢNG ĐIỀU KHIỂN  —  TÊN CỬA HÀNG</t>
  </si>
  <si>
    <t>Xem tháng:</t>
  </si>
  <si>
    <t>Năm:</t>
  </si>
  <si>
    <t>◄ Đổi tháng &amp; năm để xem số liệu kỳ đó</t>
  </si>
  <si>
    <t>Ngày</t>
  </si>
  <si>
    <t>Doanh thu</t>
  </si>
  <si>
    <t>DOANH THU THÁNG</t>
  </si>
  <si>
    <t>LỢI NHUẬN RÒNG THÁNG</t>
  </si>
  <si>
    <t>SỐ ĐƠN THÁNG</t>
  </si>
  <si>
    <t>KHÁCH ĐANG NỢ (phải thu)</t>
  </si>
  <si>
    <t>MÌNH NỢ NCC (phải trả)</t>
  </si>
  <si>
    <t>MẶT HÀNG SẮP HẾT (≤5)</t>
  </si>
  <si>
    <t>DOANH THU NĂM</t>
  </si>
  <si>
    <t>LỢI NHUẬN RÒNG NĂM</t>
  </si>
  <si>
    <t>GIÁ TRỊ TỒN KHO (theo giá vốn)</t>
  </si>
  <si>
    <t>Số liệu tự cập nhật từ các sheet ĐƠN HÀNG, CHI PHÍ, CÔNG NỢ, HÀNG HOÁ. Chi tiết theo tháng xem ở sheet TỔNG HỢP.</t>
  </si>
  <si>
    <t>BIỂU ĐỒ DOANH THU THEO THÁNG</t>
  </si>
  <si>
    <t>Kênh bán</t>
  </si>
  <si>
    <t>Website</t>
  </si>
  <si>
    <t>Shopee</t>
  </si>
  <si>
    <t>TikTok Shop</t>
  </si>
  <si>
    <t>Lazada</t>
  </si>
  <si>
    <t>Zalo</t>
  </si>
  <si>
    <t>Facebook</t>
  </si>
  <si>
    <t>Trực tiếp</t>
  </si>
  <si>
    <t>Khác</t>
  </si>
  <si>
    <t>HỒ SƠ KHÁCH HÀNG  —  TÊN CỬA HÀNG</t>
  </si>
  <si>
    <t>Cột XÁM (Số đơn · Tổng đã mua · Mua gần nhất) tự lấy từ sheet ĐƠN HÀNG. Tên khách hàng phải GIỐNG tên chọn trong ĐƠN HÀNG mới liên kết đúng. Cột CẢNH BÁO tự báo khi trùng SĐT, Email hoặc Mã KH.</t>
  </si>
  <si>
    <t>Mã KH</t>
  </si>
  <si>
    <t>Tên khách hàng</t>
  </si>
  <si>
    <t>Đơn vị / Cửa hàng</t>
  </si>
  <si>
    <t>Mã số thuế</t>
  </si>
  <si>
    <t>SĐT / Zalo</t>
  </si>
  <si>
    <t>Email</t>
  </si>
  <si>
    <t>Địa chỉ</t>
  </si>
  <si>
    <t>Nguồn</t>
  </si>
  <si>
    <t>Trạng thái</t>
  </si>
  <si>
    <t>Máy đang dùng</t>
  </si>
  <si>
    <t>Tem / giấy hay mua</t>
  </si>
  <si>
    <t>Ribbon / mực</t>
  </si>
  <si>
    <t>Số
đơn</t>
  </si>
  <si>
    <t>Tổng đã mua
(đ)</t>
  </si>
  <si>
    <t>Mua gần
nhất</t>
  </si>
  <si>
    <t>Cảnh báo</t>
  </si>
  <si>
    <t>Ghi chú</t>
  </si>
  <si>
    <t>KH-001</t>
  </si>
  <si>
    <t>Shop Thời Trang Mây</t>
  </si>
  <si>
    <t>0900 000 001</t>
  </si>
  <si>
    <t>TP.HCM</t>
  </si>
  <si>
    <t>Đang mua</t>
  </si>
  <si>
    <t>Decal giấy 35x22mm x50m (3 tem) — in giá &amp; mã SP</t>
  </si>
  <si>
    <t>Wax Premium</t>
  </si>
  <si>
    <t>Khách mẫu — thay bằng khách thật của bạn</t>
  </si>
  <si>
    <t>KH-002</t>
  </si>
  <si>
    <t>Tạp Hóa Bình Minh</t>
  </si>
  <si>
    <t>0900 000 002</t>
  </si>
  <si>
    <t>Đã mua</t>
  </si>
  <si>
    <t>Máy in cầm tay HPRT HM-A300E</t>
  </si>
  <si>
    <t>Giấy in bill K80x45mm · Decal nhiệt 77x30m</t>
  </si>
  <si>
    <t>Không cần ribbon (giấy nhiệt)</t>
  </si>
  <si>
    <t>Đã mua máy + giấy nhiệt</t>
  </si>
  <si>
    <t>KH-003</t>
  </si>
  <si>
    <t>Quán Cà Phê Góc Phố</t>
  </si>
  <si>
    <t>0900 000 003</t>
  </si>
  <si>
    <t>Giới thiệu</t>
  </si>
  <si>
    <t>Tiềm năng</t>
  </si>
  <si>
    <t>Giấy in bill K80</t>
  </si>
  <si>
    <t>Đang tư vấn máy in bill</t>
  </si>
  <si>
    <t>DANH MỤC HÀNG HOÁ &amp; TỒN KHO  —  TÊN CỬA HÀNG</t>
  </si>
  <si>
    <t>Tồn cuối = Tồn đầu + Đã nhập − Đã xuất. Cột Nhà cung cấp: chọn từ danh sách để biết mặt hàng của NCC nào. Chỉ điền ô VÀNG. Tồn cuối ≤0 tô ĐỎ, ≤5 tô CAM. Ba cột đầu là bảng giá gửi khách.</t>
  </si>
  <si>
    <t>BẢNG GIÁ GỬI KHÁCH ► chụp 3 cột</t>
  </si>
  <si>
    <t>THÔNG TIN NỘI BỘ</t>
  </si>
  <si>
    <t>TỒN KHO</t>
  </si>
  <si>
    <t>DOANH SỐ (tự động)</t>
  </si>
  <si>
    <t>THAM KHẢO</t>
  </si>
  <si>
    <t>Tên hàng</t>
  </si>
  <si>
    <t>Mô tả sản phẩm</t>
  </si>
  <si>
    <t>Giá bán</t>
  </si>
  <si>
    <t>Mã SP</t>
  </si>
  <si>
    <t>Nhóm hàng</t>
  </si>
  <si>
    <t>Kích thước</t>
  </si>
  <si>
    <t>ĐVT</t>
  </si>
  <si>
    <t>Ribbon</t>
  </si>
  <si>
    <t>Nhà cung cấp</t>
  </si>
  <si>
    <t>Giá vốn
(đ)</t>
  </si>
  <si>
    <t>Lợi nhuận
/ĐV</t>
  </si>
  <si>
    <t>Tồn đầu</t>
  </si>
  <si>
    <t>Đã nhập</t>
  </si>
  <si>
    <t>Đã xuất</t>
  </si>
  <si>
    <t>Tồn cuối</t>
  </si>
  <si>
    <t>Đã
bán</t>
  </si>
  <si>
    <t>Doanh thu
(đ)</t>
  </si>
  <si>
    <t>Bán gần
nhất</t>
  </si>
  <si>
    <t>Giá vốn BQ
(tham khảo)</t>
  </si>
  <si>
    <t>Decal giấy 35x22mm x50m (3 tem)</t>
  </si>
  <si>
    <t>Decal giấy in mã vạch, 3 tem/hàng, cuộn dài 50m. Bề mặt bám mực tốt, in sắc nét; dùng dán giá, mã sản phẩm, kho hàng. Xé rách, Không chống nước (cần ribbon Wax Premium)</t>
  </si>
  <si>
    <t>SP-001</t>
  </si>
  <si>
    <t>Decal giấy</t>
  </si>
  <si>
    <t>35x22mm x50m</t>
  </si>
  <si>
    <t>Cuộn</t>
  </si>
  <si>
    <t>Xưởng Tem Nhãn Miền Nam</t>
  </si>
  <si>
    <t>Bán chạy</t>
  </si>
  <si>
    <t>Decal nhiệt liên tục 77x30m</t>
  </si>
  <si>
    <t>Decal cảm nhiệt khổ 77mm, dạng liên tục, cuộn 30m. In trực tiếp KHÔNG cần ribbon/mực, tiết kiệm chi phí, phù hợp tem giao hàng.</t>
  </si>
  <si>
    <t>SP-002</t>
  </si>
  <si>
    <t>Decal nhiệt</t>
  </si>
  <si>
    <t>77mm x 30m</t>
  </si>
  <si>
    <t>Không cần ribbon</t>
  </si>
  <si>
    <t>Giấy in bill K80x45mm</t>
  </si>
  <si>
    <t>Giấy in nhiệt khổ K80, đường kính cuộn 45mm. Dùng cho máy in hoá đơn/bill, in nhanh, chữ rõ nét, KHÔNG cần mực.</t>
  </si>
  <si>
    <t>SP-003</t>
  </si>
  <si>
    <t>Giấy in nhiệt</t>
  </si>
  <si>
    <t>K80 x 45mm</t>
  </si>
  <si>
    <t>Cơ sở Decal Phương Đông</t>
  </si>
  <si>
    <t>Máy in nhiệt cầm tay đa năng, kết nối Bluetooth, in tem nhãn &amp; hoá đơn di động. Bảo hành thân máy 12 tháng, pin/phụ kiện 6 tháng.</t>
  </si>
  <si>
    <t>SP-004</t>
  </si>
  <si>
    <t>Máy &amp; thiết bị</t>
  </si>
  <si>
    <t>-</t>
  </si>
  <si>
    <t>Cái</t>
  </si>
  <si>
    <t>NPP Mực In Thành Đạt</t>
  </si>
  <si>
    <t>Decal Giấy 100x100mm x 50m (1 Tem)</t>
  </si>
  <si>
    <t>Decal giấy in mã vạch, 1 tem/hàng, cuộn dài 50m. Bề mặt bám mực tốt, in sắc nét; dùng dán giá, mã sản phẩm, kho hàng. Xé rách, Không chống nước (cần ribbon Wax Premium)</t>
  </si>
  <si>
    <t>SP-005</t>
  </si>
  <si>
    <t>100x100mm x50m</t>
  </si>
  <si>
    <t>KQ CARE</t>
  </si>
  <si>
    <t>DANH SÁCH NHÀ CUNG CẤP  —  TÊN CỬA HÀNG</t>
  </si>
  <si>
    <t>Cột XÁM (Tổng đã nhập · Đang nợ · Nhập gần nhất) tự lấy từ PHIẾU NHẬP HÀNG theo tên NCC. Tên NCC ở đây là nguồn cho ô chọn nhà cung cấp trong Phiếu nhập và Hàng hoá. Đang nợ &gt; 0 tô đỏ.</t>
  </si>
  <si>
    <t>Mã NCC</t>
  </si>
  <si>
    <t>Tên nhà cung cấp</t>
  </si>
  <si>
    <t>Người liên hệ</t>
  </si>
  <si>
    <t>Mặt hàng cung cấp</t>
  </si>
  <si>
    <t>Điều khoản TT</t>
  </si>
  <si>
    <t>Tổng đã nhập
(đ)</t>
  </si>
  <si>
    <t>Đang nợ
(đ)</t>
  </si>
  <si>
    <t>Nhập gần
nhất</t>
  </si>
  <si>
    <t>NCC-01</t>
  </si>
  <si>
    <t>A. Nam</t>
  </si>
  <si>
    <t>0900 000 011</t>
  </si>
  <si>
    <t>Decal giấy, decal nhiệt, giấy in nhiệt</t>
  </si>
  <si>
    <t>Công nợ 30 ngày</t>
  </si>
  <si>
    <t>NCC mẫu — thay bằng nhà cung cấp thật của bạn</t>
  </si>
  <si>
    <t>NCC-02</t>
  </si>
  <si>
    <t>C. Lan</t>
  </si>
  <si>
    <t>0900 000 012</t>
  </si>
  <si>
    <t>Decal PVC, xi bạc</t>
  </si>
  <si>
    <t>Trả ngay</t>
  </si>
  <si>
    <t>NCC-03</t>
  </si>
  <si>
    <t>A. Hùng</t>
  </si>
  <si>
    <t>0900 000 013</t>
  </si>
  <si>
    <t>Ribbon Wax, Wax Resin, Resin</t>
  </si>
  <si>
    <t>Công nợ 15 ngày</t>
  </si>
  <si>
    <t>SỔ THEO DÕI ĐƠN HÀNG &amp; LỢI NHUẬN  —  TÊN CỬA HÀNG</t>
  </si>
  <si>
    <t>Ô VÀNG = anh tự điền   ·   Ô XÁM = máy tự tính (không gõ đè)   ·   Lợi nhuận = Doanh thu − Giá vốn − Vận chuyển − Phí sàn − Chi phí khác</t>
  </si>
  <si>
    <t>Mã đơn</t>
  </si>
  <si>
    <t>Khách hàng</t>
  </si>
  <si>
    <t>Sản phẩm / Nội dung</t>
  </si>
  <si>
    <t>SL</t>
  </si>
  <si>
    <t>Doanh thu
(khách trả)</t>
  </si>
  <si>
    <t>Giá vốn hàng</t>
  </si>
  <si>
    <t>Phí vận
chuyển</t>
  </si>
  <si>
    <t>Phí sàn &amp;
giao dịch</t>
  </si>
  <si>
    <t>Chi phí
khác</t>
  </si>
  <si>
    <t>Tổng
chi phí</t>
  </si>
  <si>
    <t>LỢI NHUẬN</t>
  </si>
  <si>
    <t>Biên
LN %</t>
  </si>
  <si>
    <t>Thanh toán</t>
  </si>
  <si>
    <t>DH-0001</t>
  </si>
  <si>
    <t>Đã thu</t>
  </si>
  <si>
    <t>Khách mua lẻ in giá</t>
  </si>
  <si>
    <t>DH-0002</t>
  </si>
  <si>
    <t>DH-0003</t>
  </si>
  <si>
    <t>Chưa thu</t>
  </si>
  <si>
    <t>Giao trước, thu sau</t>
  </si>
  <si>
    <t>TỔNG</t>
  </si>
  <si>
    <t>CÁCH DÙNG:</t>
  </si>
  <si>
    <t>• Mỗi đơn hàng nhập 1 dòng. Điền các ô VÀNG, ba cột XÁM (Tổng chi phí / Lợi nhuận / Biên LN%) tự tính.</t>
  </si>
  <si>
    <t>• Giá vốn hàng: với hàng mua về bán lại = giá nhập; với tem/decal tự in = lấy ô "Tổng chi phí" (I24) ở sheet TINH-GIA-TEM.</t>
  </si>
  <si>
    <t>• Phí sàn &amp; giao dịch: phần Shopee/TikTok/Lazada trừ lại trên doanh thu (nếu bán qua sàn).</t>
  </si>
  <si>
    <t>• Lợi nhuận âm sẽ tự bôi ĐỎ; biên lợi nhuận dưới 10% bôi CAM để anh cảnh giác.</t>
  </si>
  <si>
    <t>PHIẾU NHẬP HÀNG / NHẬP KHO  —  TÊN CỬA HÀNG</t>
  </si>
  <si>
    <t>Nhập 1 dòng mỗi lần nhập hàng. Cột "Mã / Tên hàng": GÕ MÃ hoặc CHỌN TÊN — ô bên phải (Mã SP · Tên hàng · Giá bán · Mã vạch) tự hiện để IN TEM. Chọn Sản phẩm để tồn kho tự cộng; chọn "Chưa trả" nếu còn nợ NCC.</t>
  </si>
  <si>
    <t>Ngày nhập</t>
  </si>
  <si>
    <t>Mã / Tên hàng</t>
  </si>
  <si>
    <t>SL nhập</t>
  </si>
  <si>
    <t>Đơn giá nhập</t>
  </si>
  <si>
    <t>Thành tiền</t>
  </si>
  <si>
    <t>Mã SP
(in tem)</t>
  </si>
  <si>
    <t>Tên hàng
(in tem)</t>
  </si>
  <si>
    <t>Giá bán
(in tem)</t>
  </si>
  <si>
    <t>Mã vạch
Code 39</t>
  </si>
  <si>
    <t>Đã trả</t>
  </si>
  <si>
    <t>Chưa trả</t>
  </si>
  <si>
    <t>VD: nhập bằng mã SP</t>
  </si>
  <si>
    <t>TỔNG TIỀN NHẬP</t>
  </si>
  <si>
    <t>TRONG ĐÓ CÒN NỢ NCC (Chưa trả)</t>
  </si>
  <si>
    <t>CHI PHÍ VẬN HÀNH CỬA HÀNG  —  TÊN CỬA HÀNG</t>
  </si>
  <si>
    <t>Ô VÀNG = anh tự điền   ·   Ô XÁM = tự tính.  Chi phí cố định được quy đổi về MỘT THÁNG để tính lợi nhuận ròng bên sheet TONG-HOP.</t>
  </si>
  <si>
    <t>①  CHI PHÍ CỐ ĐỊNH (định kỳ)</t>
  </si>
  <si>
    <t>STT</t>
  </si>
  <si>
    <t>Khoản mục</t>
  </si>
  <si>
    <t>Liên hệ NCC</t>
  </si>
  <si>
    <t>Chu kỳ</t>
  </si>
  <si>
    <t>Số tiền / kỳ</t>
  </si>
  <si>
    <t>Quy đổi / tháng</t>
  </si>
  <si>
    <t>Đến hạn</t>
  </si>
  <si>
    <t>Thuê mặt bằng / kho</t>
  </si>
  <si>
    <t>Chủ nhà</t>
  </si>
  <si>
    <t>Tháng</t>
  </si>
  <si>
    <t>Mùng 5</t>
  </si>
  <si>
    <t>Số mẫu — điền tiền thuê thật của bạn (bán tại nhà thì để 0)</t>
  </si>
  <si>
    <t>Internet cáp quang</t>
  </si>
  <si>
    <t>FPT / Viettel</t>
  </si>
  <si>
    <t>Hosting / lưu trữ website</t>
  </si>
  <si>
    <t>NCC hosting</t>
  </si>
  <si>
    <t>Năm</t>
  </si>
  <si>
    <t>Tên miền website</t>
  </si>
  <si>
    <t>NCC tên miền</t>
  </si>
  <si>
    <t>Điện</t>
  </si>
  <si>
    <t>EVN HCMC</t>
  </si>
  <si>
    <t>Nước</t>
  </si>
  <si>
    <t>Cấp nước</t>
  </si>
  <si>
    <t>Phần mềm quản lý bán hàng</t>
  </si>
  <si>
    <t>Cước điện thoại / SIM</t>
  </si>
  <si>
    <t>TỔNG CHI PHÍ CỐ ĐỊNH / THÁNG</t>
  </si>
  <si>
    <t>②  CHI PHÍ PHÁT SINH (không định kỳ)</t>
  </si>
  <si>
    <t>Số tiền</t>
  </si>
  <si>
    <t>Lý do / Diễn giải</t>
  </si>
  <si>
    <t>TỔNG CHI PHÍ PHÁT SINH</t>
  </si>
  <si>
    <t>③  CHI PHÍ CỐ ĐỊNH GHI NHẬN THEO THÁNG  (mỗi tháng 1 dòng — đóng băng lịch sử)</t>
  </si>
  <si>
    <t>Chi phí cố định (đ)</t>
  </si>
  <si>
    <t>Số mẫu — đầu mỗi tháng ghi TỔNG chi phí cố định (= tổng bảng ①) thực tế của bạn vào đây.</t>
  </si>
  <si>
    <t>CÁCH GHI: Mỗi tháng có kinh doanh, ghi 1 dòng số chi phí cố định thực tế của tháng đó. Khi phí tăng/giảm (ví dụ thuê nhà tăng), chỉ sửa số tiền TỪ THÁNG mới trở đi — các tháng trước giữ nguyên, nên báo cáo cũ không bị thay đổi. Sang năm mới, điền tiếp các dòng năm đó.</t>
  </si>
  <si>
    <t>SỔ THEO DÕI LIÊN HỆ &amp; TIẾN TRÌNH LÀM VIỆC  —  TÊN CỬA HÀNG</t>
  </si>
  <si>
    <t>Mỗi lần liên hệ / làm việc với khách ghi 1 dòng. Chọn Khách hàng từ danh sách. Giai đoạn 'Đã chốt đơn / Hoàn thành' tô XANH, 'Tạm dừng' tô XÁM. Ô Hẹn ngày đã QUÁ HẠN mà việc chưa xong sẽ tự tô ĐỎ để nhắc anh theo dõi.</t>
  </si>
  <si>
    <t>Ngày liên hệ</t>
  </si>
  <si>
    <t>Chức vụ</t>
  </si>
  <si>
    <t>SĐT người liên hệ</t>
  </si>
  <si>
    <t>Hình thức</t>
  </si>
  <si>
    <t>Giai đoạn</t>
  </si>
  <si>
    <t>Nội dung trao đổi / tiến trình</t>
  </si>
  <si>
    <t>Việc cần làm tiếp</t>
  </si>
  <si>
    <t>Hẹn ngày</t>
  </si>
  <si>
    <t>Lê Hoàng Vũ</t>
  </si>
  <si>
    <t>Nhân viên</t>
  </si>
  <si>
    <t>Đã chốt đơn</t>
  </si>
  <si>
    <t>Khách dễ tính, phản hồi nhanh</t>
  </si>
  <si>
    <t>BÁO CÁO LÃI / LỖ THEO THÁNG  (sau toàn bộ chi phí)</t>
  </si>
  <si>
    <t>◄ Đổi năm tại ô vàng. LN gộp = từ đơn hàng; trừ tiếp CP cố định + CP phát sinh = LỢI NHUẬN RÒNG.</t>
  </si>
  <si>
    <t>Giá vốn</t>
  </si>
  <si>
    <t>CP bán hàng</t>
  </si>
  <si>
    <t>LN gộp</t>
  </si>
  <si>
    <t>CP cố định</t>
  </si>
  <si>
    <t>CP phát sinh</t>
  </si>
  <si>
    <t>LỢI NHUẬN RÒNG</t>
  </si>
  <si>
    <t>Biên
ròng %</t>
  </si>
  <si>
    <t>Tháng 1</t>
  </si>
  <si>
    <t>Tháng 2</t>
  </si>
  <si>
    <t>Tháng 3</t>
  </si>
  <si>
    <t>Tháng 4</t>
  </si>
  <si>
    <t>Tháng 5</t>
  </si>
  <si>
    <t>Tháng 6</t>
  </si>
  <si>
    <t>Tháng 7</t>
  </si>
  <si>
    <t>Tháng 8</t>
  </si>
  <si>
    <t>Tháng 9</t>
  </si>
  <si>
    <t>Tháng 10</t>
  </si>
  <si>
    <t>Tháng 11</t>
  </si>
  <si>
    <t>Tháng 12</t>
  </si>
  <si>
    <t>CẢ NĂM</t>
  </si>
  <si>
    <t>DOANH THU &amp; LÃI GỘP THEO KÊNH BÁN (theo năm đã chọn ở ô trên)</t>
  </si>
  <si>
    <t>Số đơn</t>
  </si>
  <si>
    <t>Lãi gộp</t>
  </si>
  <si>
    <t>Biên gộp %</t>
  </si>
  <si>
    <t>BÁO CÁO CÔNG NỢ  —  TÊN CỬA HÀNG</t>
  </si>
  <si>
    <t>Tự tổng hợp từ ĐƠN HÀNG (đơn Chưa thu/COD) và CHI PHÍ (khoản Chưa trả). Cập nhật ngay khi anh đổi trạng thái thanh toán.</t>
  </si>
  <si>
    <t>①  KHÁCH NỢ MÌNH (phải thu)</t>
  </si>
  <si>
    <t>②  MÌNH NỢ NHÀ CUNG CẤP (phải trả)</t>
  </si>
  <si>
    <t>TỔNG PHẢI THU</t>
  </si>
  <si>
    <t>TỔNG PHẢI TRẢ</t>
  </si>
  <si>
    <t>Số đơn nợ</t>
  </si>
  <si>
    <t>Tiền khách nợ (đ)</t>
  </si>
  <si>
    <t>Khoản</t>
  </si>
  <si>
    <t>Số tiền (đ)</t>
  </si>
  <si>
    <t>Chi phí cố định chưa trả</t>
  </si>
  <si>
    <t>Chi phí phát sinh chưa trả</t>
  </si>
  <si>
    <t>Tiền nhập hàng chưa trả</t>
  </si>
  <si>
    <t>③  CHÊNH LỆCH (thu − trả)</t>
  </si>
  <si>
    <t>Vị thế ròng</t>
  </si>
  <si>
    <t>MỤC TIÊU DOANH THU THÁNG  —  TÊN CỬA HÀNG</t>
  </si>
  <si>
    <t>Điền MỤC TIÊU (ô vàng) cho từng tháng. Thực tế tự lấy từ ĐƠN HÀNG. Đạt ≥100% tô XANH, dưới 100% tô CAM.</t>
  </si>
  <si>
    <t>Mục tiêu (đ)</t>
  </si>
  <si>
    <t>Thực tế (đ)</t>
  </si>
  <si>
    <t>% đạt</t>
  </si>
  <si>
    <t>Chênh lệch (đ)</t>
  </si>
  <si>
    <t>nam_lon_nhat</t>
  </si>
  <si>
    <t>0931456789</t>
  </si>
  <si>
    <t>Hỏi thăm sau 1 tháng dùng máy, giới thiệu thêm decal giấy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</si>
</sst>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0&quot; đ&quot;"/>
    <numFmt numFmtId="166" formatCode="0.0%"/>
  </numFmts>
  <fonts count="40" x14ac:knownFonts="1">
    <font>
      <sz val="11"/>
      <color theme="1"/>
      <name val="Calibri"/>
      <family val="2"/>
      <charset val="1"/>
    </font>
    <font>
      <b/>
      <sz val="16"/>
      <color rgb="FFFFFFFF"/>
      <name val="Times New Roman"/>
      <charset val="1"/>
    </font>
    <font>
      <b/>
      <sz val="11"/>
      <color rgb="FF13305E"/>
      <name val="Times New Roman"/>
      <charset val="1"/>
    </font>
    <font>
      <b/>
      <sz val="11"/>
      <color rgb="FF13305E"/>
      <name val="Cambria"/>
      <charset val="1"/>
    </font>
    <font>
      <b/>
      <sz val="12"/>
      <color rgb="FFFFFFFF"/>
      <name val="Times New Roman"/>
      <charset val="1"/>
    </font>
    <font>
      <sz val="11"/>
      <color rgb="FF000000"/>
      <name val="Times New Roman"/>
      <charset val="1"/>
    </font>
    <font>
      <b/>
      <sz val="18"/>
      <color rgb="FFFFFFFF"/>
      <name val="Times New Roman"/>
      <charset val="1"/>
    </font>
    <font>
      <i/>
      <sz val="11"/>
      <color rgb="FF595959"/>
      <name val="Times New Roman"/>
      <charset val="1"/>
    </font>
    <font>
      <b/>
      <sz val="13"/>
      <color rgb="FF13305E"/>
      <name val="Times New Roman"/>
      <charset val="1"/>
    </font>
    <font>
      <i/>
      <sz val="9"/>
      <color rgb="FF13305E"/>
      <name val="Times New Roman"/>
      <charset val="1"/>
    </font>
    <font>
      <b/>
      <sz val="12"/>
      <color rgb="FF13305E"/>
      <name val="Times New Roman"/>
      <charset val="1"/>
    </font>
    <font>
      <b/>
      <sz val="13"/>
      <color rgb="FFFFFFFF"/>
      <name val="Times New Roman"/>
      <charset val="1"/>
    </font>
    <font>
      <i/>
      <sz val="9"/>
      <color rgb="FFFFFFFF"/>
      <name val="Times New Roman"/>
      <charset val="1"/>
    </font>
    <font>
      <b/>
      <sz val="12"/>
      <color rgb="FF000000"/>
      <name val="Times New Roman"/>
      <charset val="1"/>
    </font>
    <font>
      <b/>
      <sz val="13"/>
      <color rgb="FFC00000"/>
      <name val="Times New Roman"/>
      <charset val="1"/>
    </font>
    <font>
      <i/>
      <sz val="10"/>
      <color rgb="FF595959"/>
      <name val="Times New Roman"/>
      <charset val="1"/>
    </font>
    <font>
      <b/>
      <sz val="10"/>
      <color rgb="FFFFFFFF"/>
      <name val="Cambria"/>
      <charset val="1"/>
    </font>
    <font>
      <b/>
      <sz val="11"/>
      <color rgb="FFFFFFFF"/>
      <name val="Times New Roman"/>
      <charset val="1"/>
    </font>
    <font>
      <b/>
      <sz val="17"/>
      <color rgb="FF13305E"/>
      <name val="Times New Roman"/>
      <charset val="1"/>
    </font>
    <font>
      <b/>
      <sz val="17"/>
      <color rgb="FF1F7A38"/>
      <name val="Times New Roman"/>
      <charset val="1"/>
    </font>
    <font>
      <b/>
      <sz val="17"/>
      <color rgb="FFB8651B"/>
      <name val="Times New Roman"/>
      <charset val="1"/>
    </font>
    <font>
      <b/>
      <sz val="17"/>
      <color rgb="FFC00000"/>
      <name val="Times New Roman"/>
      <charset val="1"/>
    </font>
    <font>
      <b/>
      <sz val="17"/>
      <color rgb="FF1F6F54"/>
      <name val="Times New Roman"/>
      <charset val="1"/>
    </font>
    <font>
      <b/>
      <sz val="12"/>
      <color rgb="FFFFFFFF"/>
      <name val="Cambria"/>
      <charset val="1"/>
    </font>
    <font>
      <i/>
      <sz val="10"/>
      <color rgb="FF595959"/>
      <name val="Cambria"/>
      <charset val="1"/>
    </font>
    <font>
      <b/>
      <sz val="11"/>
      <color rgb="FF000000"/>
      <name val="Times New Roman"/>
      <charset val="1"/>
    </font>
    <font>
      <b/>
      <sz val="11"/>
      <color rgb="FFC00000"/>
      <name val="Times New Roman"/>
      <charset val="1"/>
    </font>
    <font>
      <sz val="11"/>
      <color rgb="FF000000"/>
      <name val="Times New Roman"/>
      <family val="1"/>
      <charset val="163"/>
    </font>
    <font>
      <u/>
      <sz val="11"/>
      <color theme="10"/>
      <name val="Calibri"/>
      <family val="2"/>
      <charset val="1"/>
    </font>
    <font>
      <b/>
      <sz val="15"/>
      <color rgb="FFFFFFFF"/>
      <name val="Times New Roman"/>
      <charset val="1"/>
    </font>
    <font>
      <b/>
      <sz val="12"/>
      <color rgb="FFB23A00"/>
      <name val="Times New Roman"/>
      <charset val="1"/>
    </font>
    <font>
      <b/>
      <sz val="11"/>
      <color rgb="FF1F6F54"/>
      <name val="Times New Roman"/>
      <charset val="1"/>
    </font>
    <font>
      <b/>
      <sz val="11"/>
      <color rgb="FF6B3FA0"/>
      <name val="Times New Roman"/>
      <charset val="1"/>
    </font>
    <font>
      <sz val="10"/>
      <name val="Arial"/>
      <family val="2"/>
    </font>
    <font>
      <b/>
      <sz val="10"/>
      <color rgb="FF13305E"/>
      <name val="Times New Roman"/>
      <charset val="1"/>
    </font>
    <font>
      <sz val="10"/>
      <color rgb="FF595959"/>
      <name val="Times New Roman"/>
      <charset val="1"/>
    </font>
    <font>
      <sz val="11"/>
      <color rgb="FF13305E"/>
      <name val="Times New Roman"/>
      <charset val="1"/>
    </font>
    <font>
      <b/>
      <sz val="12"/>
      <color rgb="FFFFFFFF"/>
      <name val="Times New Roman"/>
      <family val="1"/>
      <charset val="163"/>
    </font>
    <font>
      <b/>
      <sz val="12"/>
      <color rgb="FFC00000"/>
      <name val="Times New Roman"/>
      <charset val="1"/>
    </font>
    <font>
      <b/>
      <sz val="14"/>
      <color rgb="FFFFFFFF"/>
      <name val="Times New Roman"/>
      <charset val="1"/>
    </font>
  </fonts>
  <fills count="17">
    <fill>
      <patternFill patternType="none"/>
    </fill>
    <fill>
      <patternFill patternType="gray125"/>
    </fill>
    <fill>
      <patternFill patternType="solid">
        <fgColor rgb="FF13305E"/>
        <bgColor rgb="FF2C4A78"/>
      </patternFill>
    </fill>
    <fill>
      <patternFill patternType="solid">
        <fgColor rgb="FFFCC55E"/>
        <bgColor rgb="FFF1A78B"/>
      </patternFill>
    </fill>
    <fill>
      <patternFill patternType="solid">
        <fgColor rgb="FF2C4A78"/>
        <bgColor rgb="FF13305E"/>
      </patternFill>
    </fill>
    <fill>
      <patternFill patternType="solid">
        <fgColor rgb="FF5A6B82"/>
        <bgColor rgb="FF595959"/>
      </patternFill>
    </fill>
    <fill>
      <patternFill patternType="solid">
        <fgColor rgb="FFFFF2CC"/>
        <bgColor rgb="FFFFF4CC"/>
      </patternFill>
    </fill>
    <fill>
      <patternFill patternType="solid">
        <fgColor rgb="FF1F7A38"/>
        <bgColor rgb="FF1F6F54"/>
      </patternFill>
    </fill>
    <fill>
      <patternFill patternType="solid">
        <fgColor rgb="FFFFFFFF"/>
        <bgColor rgb="FFF5F8FC"/>
      </patternFill>
    </fill>
    <fill>
      <patternFill patternType="solid">
        <fgColor rgb="FFC00000"/>
        <bgColor rgb="FF9C0006"/>
      </patternFill>
    </fill>
    <fill>
      <patternFill patternType="solid">
        <fgColor rgb="FFB8651B"/>
        <bgColor rgb="FFD36F2B"/>
      </patternFill>
    </fill>
    <fill>
      <patternFill patternType="solid">
        <fgColor rgb="FF1F6F54"/>
        <bgColor rgb="FF1F7A38"/>
      </patternFill>
    </fill>
    <fill>
      <patternFill patternType="solid">
        <fgColor rgb="FFEDEFF2"/>
        <bgColor rgb="FFF5F8FC"/>
      </patternFill>
    </fill>
    <fill>
      <patternFill patternType="solid">
        <fgColor rgb="FF6B3FA0"/>
        <bgColor rgb="FF595959"/>
      </patternFill>
    </fill>
    <fill>
      <patternFill patternType="solid">
        <fgColor rgb="FFB23A00"/>
        <bgColor rgb="FF9C5800"/>
      </patternFill>
    </fill>
    <fill>
      <patternFill patternType="solid">
        <fgColor rgb="FFFFF4CC"/>
        <bgColor rgb="FFFFF2CC"/>
      </patternFill>
    </fill>
    <fill>
      <patternFill patternType="solid">
        <fgColor rgb="FFF5F8FC"/>
        <bgColor rgb="FFFFFFFF"/>
      </patternFill>
    </fill>
  </fills>
  <borders count="12">
    <border>
      <left/>
      <right/>
      <top/>
      <bottom/>
      <diagonal/>
    </border>
    <border>
      <left style="medium">
        <color rgb="FF13305E"/>
      </left>
      <right style="medium">
        <color rgb="FF13305E"/>
      </right>
      <top style="medium">
        <color rgb="FF13305E"/>
      </top>
      <bottom style="medium">
        <color rgb="FF13305E"/>
      </bottom>
      <diagonal/>
    </border>
    <border>
      <left style="thin">
        <color rgb="FF13305E"/>
      </left>
      <right/>
      <top style="thin">
        <color rgb="FF13305E"/>
      </top>
      <bottom style="thin">
        <color rgb="FF13305E"/>
      </bottom>
      <diagonal/>
    </border>
    <border>
      <left style="medium">
        <color rgb="FFFCC55E"/>
      </left>
      <right style="medium">
        <color rgb="FFFCC55E"/>
      </right>
      <top style="medium">
        <color rgb="FFFCC55E"/>
      </top>
      <bottom style="medium">
        <color rgb="FFFCC55E"/>
      </bottom>
      <diagonal/>
    </border>
    <border>
      <left style="thin">
        <color rgb="FF13305E"/>
      </left>
      <right style="thin">
        <color rgb="FF13305E"/>
      </right>
      <top style="thin">
        <color rgb="FF13305E"/>
      </top>
      <bottom style="thin">
        <color rgb="FF13305E"/>
      </bottom>
      <diagonal/>
    </border>
    <border>
      <left style="thin">
        <color rgb="FFBFC9D9"/>
      </left>
      <right style="thin">
        <color rgb="FFBFC9D9"/>
      </right>
      <top style="thin">
        <color rgb="FFBFC9D9"/>
      </top>
      <bottom style="thin">
        <color rgb="FFBFC9D9"/>
      </bottom>
      <diagonal/>
    </border>
    <border>
      <left style="medium">
        <color rgb="FF1F7A38"/>
      </left>
      <right style="medium">
        <color rgb="FF1F7A38"/>
      </right>
      <top style="medium">
        <color rgb="FF1F7A38"/>
      </top>
      <bottom style="medium">
        <color rgb="FF1F7A38"/>
      </bottom>
      <diagonal/>
    </border>
    <border>
      <left style="medium">
        <color rgb="FFC00000"/>
      </left>
      <right style="medium">
        <color rgb="FFC00000"/>
      </right>
      <top style="medium">
        <color rgb="FFC00000"/>
      </top>
      <bottom style="medium">
        <color rgb="FFC00000"/>
      </bottom>
      <diagonal/>
    </border>
    <border>
      <left style="medium">
        <color rgb="FFB8651B"/>
      </left>
      <right style="medium">
        <color rgb="FFB8651B"/>
      </right>
      <top style="medium">
        <color rgb="FFB8651B"/>
      </top>
      <bottom style="medium">
        <color rgb="FFB8651B"/>
      </bottom>
      <diagonal/>
    </border>
    <border>
      <left style="medium">
        <color rgb="FF1F6F54"/>
      </left>
      <right style="medium">
        <color rgb="FF1F6F54"/>
      </right>
      <top style="medium">
        <color rgb="FF1F6F54"/>
      </top>
      <bottom style="medium">
        <color rgb="FF1F6F54"/>
      </bottom>
      <diagonal/>
    </border>
    <border>
      <left style="thin">
        <color rgb="FFC9D4E2"/>
      </left>
      <right style="thin">
        <color rgb="FFC9D4E2"/>
      </right>
      <top style="thin">
        <color rgb="FFC9D4E2"/>
      </top>
      <bottom style="thin">
        <color rgb="FFC9D4E2"/>
      </bottom>
      <diagonal/>
    </border>
    <border>
      <left style="thin">
        <color rgb="FFC9D4E2"/>
      </left>
      <right/>
      <top style="thin">
        <color rgb="FFC9D4E2"/>
      </top>
      <bottom style="thin">
        <color rgb="FFC9D4E2"/>
      </bottom>
      <diagonal/>
    </border>
  </borders>
  <cellStyleXfs count="1">
    <xf numFmtId="0" fontId="0" fillId="0" borderId="0"/>
  </cellStyleXfs>
  <cellXfs count="130">
    <xf numFmtId="0" fontId="0" fillId="0" borderId="0" xfId="0"/>
    <xf numFmtId="0" fontId="12"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0" borderId="0" xfId="0" applyFont="1" applyBorder="1" applyAlignment="1" applyProtection="1">
      <alignment horizontal="left" vertical="center" wrapText="1"/>
      <protection locked="0"/>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4" fillId="4" borderId="0" xfId="0" applyFont="1" applyFill="1" applyBorder="1" applyAlignment="1">
      <alignment horizontal="left" vertical="center" wrapText="1"/>
    </xf>
    <xf numFmtId="0" fontId="4" fillId="4" borderId="0"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center" vertical="center"/>
      <protection locked="0"/>
    </xf>
    <xf numFmtId="0" fontId="2" fillId="3" borderId="1" xfId="0" applyFont="1" applyFill="1" applyBorder="1" applyAlignment="1">
      <alignment horizontal="center" vertical="center" wrapText="1"/>
    </xf>
    <xf numFmtId="0" fontId="1" fillId="2" borderId="0" xfId="0" applyFont="1" applyFill="1" applyBorder="1" applyAlignment="1" applyProtection="1">
      <alignment horizontal="center" vertical="center" wrapText="1"/>
      <protection locked="0"/>
    </xf>
    <xf numFmtId="0" fontId="0" fillId="0" borderId="0" xfId="0" applyAlignment="1"/>
    <xf numFmtId="0" fontId="0" fillId="0" borderId="0" xfId="0" applyAlignment="1" applyProtection="1">
      <protection locked="0"/>
    </xf>
    <xf numFmtId="0" fontId="2"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 fillId="0" borderId="0" xfId="0" applyFont="1" applyAlignment="1">
      <alignment horizontal="left" vertical="center" wrapText="1"/>
    </xf>
    <xf numFmtId="0" fontId="5" fillId="0" borderId="0" xfId="0" applyFont="1" applyAlignment="1">
      <alignment horizontal="left" vertical="center" wrapText="1"/>
    </xf>
    <xf numFmtId="0" fontId="13" fillId="0" borderId="0" xfId="0" applyFont="1" applyAlignment="1" applyProtection="1">
      <alignment horizontal="right" vertical="center" wrapText="1"/>
      <protection locked="0"/>
    </xf>
    <xf numFmtId="1" fontId="14" fillId="6" borderId="4" xfId="0" applyNumberFormat="1" applyFont="1" applyFill="1" applyBorder="1" applyAlignment="1" applyProtection="1">
      <alignment horizontal="center" vertical="center" wrapText="1"/>
      <protection locked="0"/>
    </xf>
    <xf numFmtId="0" fontId="16" fillId="2" borderId="5" xfId="0" applyFont="1" applyFill="1" applyBorder="1" applyAlignment="1">
      <alignment horizontal="center"/>
    </xf>
    <xf numFmtId="0" fontId="0" fillId="0" borderId="5" xfId="0" applyBorder="1" applyAlignment="1">
      <alignment horizontal="center"/>
    </xf>
    <xf numFmtId="3" fontId="0" fillId="0" borderId="5" xfId="0" applyNumberFormat="1" applyBorder="1" applyAlignment="1"/>
    <xf numFmtId="0" fontId="0" fillId="0" borderId="5" xfId="0" applyFont="1" applyBorder="1" applyAlignment="1"/>
    <xf numFmtId="0" fontId="17" fillId="2" borderId="10" xfId="0" applyFont="1" applyFill="1" applyBorder="1" applyAlignment="1" applyProtection="1">
      <alignment horizontal="center" vertical="center" wrapText="1"/>
      <protection locked="0"/>
    </xf>
    <xf numFmtId="0" fontId="17" fillId="4" borderId="10" xfId="0" applyFont="1" applyFill="1" applyBorder="1" applyAlignment="1" applyProtection="1">
      <alignment horizontal="center" vertical="center" wrapText="1"/>
      <protection locked="0"/>
    </xf>
    <xf numFmtId="0" fontId="17" fillId="5" borderId="10" xfId="0" applyFont="1" applyFill="1" applyBorder="1" applyAlignment="1" applyProtection="1">
      <alignment horizontal="center" vertical="center" wrapText="1"/>
      <protection locked="0"/>
    </xf>
    <xf numFmtId="0" fontId="17" fillId="9" borderId="10"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left" vertical="center" wrapText="1"/>
      <protection locked="0"/>
    </xf>
    <xf numFmtId="3" fontId="25" fillId="12" borderId="10" xfId="0" applyNumberFormat="1" applyFont="1" applyFill="1" applyBorder="1" applyAlignment="1">
      <alignment horizontal="center" vertical="center" wrapText="1"/>
    </xf>
    <xf numFmtId="164" fontId="25" fillId="12" borderId="10" xfId="0" applyNumberFormat="1" applyFont="1" applyFill="1" applyBorder="1" applyAlignment="1">
      <alignment horizontal="center" vertical="center" wrapText="1"/>
    </xf>
    <xf numFmtId="0" fontId="26" fillId="12" borderId="10" xfId="0" applyFont="1" applyFill="1" applyBorder="1" applyAlignment="1">
      <alignment horizontal="center" vertical="center" wrapText="1"/>
    </xf>
    <xf numFmtId="0" fontId="27" fillId="6" borderId="10" xfId="0" applyFont="1" applyFill="1" applyBorder="1" applyAlignment="1" applyProtection="1">
      <alignment horizontal="left" vertical="center" wrapText="1"/>
      <protection locked="0"/>
    </xf>
    <xf numFmtId="49" fontId="27" fillId="6" borderId="10" xfId="0" applyNumberFormat="1" applyFont="1" applyFill="1" applyBorder="1" applyAlignment="1" applyProtection="1">
      <alignment horizontal="center" vertical="center" wrapText="1"/>
      <protection locked="0"/>
    </xf>
    <xf numFmtId="0" fontId="28" fillId="6" borderId="10" xfId="0" applyFont="1" applyFill="1" applyBorder="1" applyAlignment="1" applyProtection="1">
      <alignment horizontal="left" vertical="center" wrapText="1"/>
      <protection locked="0"/>
    </xf>
    <xf numFmtId="0" fontId="17" fillId="13" borderId="10" xfId="0" applyFont="1" applyFill="1" applyBorder="1" applyAlignment="1" applyProtection="1">
      <alignment horizontal="center" vertical="center" wrapText="1"/>
      <protection locked="0"/>
    </xf>
    <xf numFmtId="0" fontId="17" fillId="14" borderId="10" xfId="0" applyFont="1" applyFill="1" applyBorder="1" applyAlignment="1" applyProtection="1">
      <alignment horizontal="center" vertical="center" wrapText="1"/>
      <protection locked="0"/>
    </xf>
    <xf numFmtId="0" fontId="17" fillId="11" borderId="10" xfId="0" applyFont="1" applyFill="1" applyBorder="1" applyAlignment="1" applyProtection="1">
      <alignment horizontal="center" vertical="center" wrapText="1"/>
      <protection locked="0"/>
    </xf>
    <xf numFmtId="0" fontId="25" fillId="6" borderId="10" xfId="0" applyFont="1" applyFill="1" applyBorder="1" applyAlignment="1" applyProtection="1">
      <alignment horizontal="left" vertical="center" wrapText="1"/>
      <protection locked="0"/>
    </xf>
    <xf numFmtId="165" fontId="30" fillId="6" borderId="10" xfId="0" applyNumberFormat="1" applyFont="1" applyFill="1" applyBorder="1" applyAlignment="1" applyProtection="1">
      <alignment horizontal="center" vertical="center" wrapText="1"/>
      <protection locked="0"/>
    </xf>
    <xf numFmtId="3" fontId="5" fillId="6" borderId="10" xfId="0" applyNumberFormat="1" applyFont="1" applyFill="1" applyBorder="1" applyAlignment="1" applyProtection="1">
      <alignment horizontal="center" vertical="center" wrapText="1"/>
      <protection locked="0"/>
    </xf>
    <xf numFmtId="3" fontId="25" fillId="6" borderId="10" xfId="0" applyNumberFormat="1" applyFont="1" applyFill="1" applyBorder="1" applyAlignment="1" applyProtection="1">
      <alignment horizontal="center" vertical="center" wrapText="1"/>
      <protection locked="0"/>
    </xf>
    <xf numFmtId="3" fontId="31" fillId="12" borderId="10" xfId="0" applyNumberFormat="1" applyFont="1" applyFill="1" applyBorder="1" applyAlignment="1">
      <alignment horizontal="center" vertical="center" wrapText="1"/>
    </xf>
    <xf numFmtId="3" fontId="32" fillId="12" borderId="10" xfId="0" applyNumberFormat="1" applyFont="1" applyFill="1" applyBorder="1" applyAlignment="1">
      <alignment horizontal="center" vertical="center" wrapText="1"/>
    </xf>
    <xf numFmtId="3" fontId="4" fillId="2" borderId="10" xfId="0" applyNumberFormat="1" applyFont="1" applyFill="1" applyBorder="1" applyAlignment="1">
      <alignment horizontal="right" vertical="center" wrapText="1"/>
    </xf>
    <xf numFmtId="166" fontId="4" fillId="2" borderId="10" xfId="0" applyNumberFormat="1" applyFont="1" applyFill="1" applyBorder="1" applyAlignment="1">
      <alignment horizontal="right" vertical="center" wrapText="1"/>
    </xf>
    <xf numFmtId="0" fontId="0" fillId="2" borderId="10" xfId="0" applyFill="1" applyBorder="1" applyAlignment="1" applyProtection="1">
      <protection locked="0"/>
    </xf>
    <xf numFmtId="164" fontId="5" fillId="6" borderId="10" xfId="0" applyNumberFormat="1" applyFont="1" applyFill="1" applyBorder="1" applyAlignment="1" applyProtection="1">
      <alignment horizontal="center" vertical="center" wrapText="1"/>
      <protection locked="0"/>
    </xf>
    <xf numFmtId="3" fontId="5" fillId="6" borderId="10" xfId="0" applyNumberFormat="1" applyFont="1" applyFill="1" applyBorder="1" applyAlignment="1" applyProtection="1">
      <alignment horizontal="right" vertical="center" wrapText="1"/>
      <protection locked="0"/>
    </xf>
    <xf numFmtId="3" fontId="25" fillId="12" borderId="10" xfId="0" applyNumberFormat="1" applyFont="1" applyFill="1" applyBorder="1" applyAlignment="1">
      <alignment horizontal="right" vertical="center" wrapText="1"/>
    </xf>
    <xf numFmtId="166" fontId="25" fillId="12" borderId="10" xfId="0" applyNumberFormat="1" applyFont="1" applyFill="1" applyBorder="1" applyAlignment="1">
      <alignment horizontal="center" vertical="center" wrapText="1"/>
    </xf>
    <xf numFmtId="9" fontId="4" fillId="2" borderId="10"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6" fillId="12" borderId="5" xfId="0" applyFont="1" applyFill="1" applyBorder="1" applyAlignment="1">
      <alignment horizontal="center" vertical="center"/>
    </xf>
    <xf numFmtId="0" fontId="36" fillId="12" borderId="5" xfId="0" applyFont="1" applyFill="1" applyBorder="1" applyAlignment="1">
      <alignment horizontal="left" vertical="center"/>
    </xf>
    <xf numFmtId="3" fontId="36" fillId="12" borderId="5" xfId="0" applyNumberFormat="1" applyFont="1" applyFill="1" applyBorder="1" applyAlignment="1">
      <alignment horizontal="right" vertical="center"/>
    </xf>
    <xf numFmtId="3" fontId="4" fillId="9" borderId="10" xfId="0" applyNumberFormat="1" applyFont="1" applyFill="1" applyBorder="1" applyAlignment="1">
      <alignment horizontal="right" vertical="center" wrapText="1"/>
    </xf>
    <xf numFmtId="0" fontId="0" fillId="9" borderId="10" xfId="0" applyFill="1" applyBorder="1" applyAlignment="1" applyProtection="1">
      <protection locked="0"/>
    </xf>
    <xf numFmtId="0" fontId="5" fillId="15" borderId="10" xfId="0" applyFont="1" applyFill="1" applyBorder="1" applyAlignment="1" applyProtection="1">
      <alignment horizontal="left" vertical="center" wrapText="1"/>
      <protection locked="0"/>
    </xf>
    <xf numFmtId="0" fontId="0" fillId="8" borderId="10" xfId="0" applyFill="1" applyBorder="1" applyAlignment="1" applyProtection="1">
      <protection locked="0"/>
    </xf>
    <xf numFmtId="1" fontId="5" fillId="15" borderId="10" xfId="0" applyNumberFormat="1" applyFont="1" applyFill="1" applyBorder="1" applyAlignment="1" applyProtection="1">
      <alignment horizontal="center" vertical="center" wrapText="1"/>
      <protection locked="0"/>
    </xf>
    <xf numFmtId="3" fontId="5" fillId="15" borderId="10" xfId="0" applyNumberFormat="1" applyFont="1" applyFill="1" applyBorder="1" applyAlignment="1" applyProtection="1">
      <alignment horizontal="right" vertical="center" wrapText="1"/>
      <protection locked="0"/>
    </xf>
    <xf numFmtId="0" fontId="25" fillId="0" borderId="0" xfId="0" applyFont="1" applyAlignment="1" applyProtection="1">
      <alignment horizontal="right" vertical="center" wrapText="1"/>
      <protection locked="0"/>
    </xf>
    <xf numFmtId="1" fontId="38" fillId="6" borderId="10" xfId="0" applyNumberFormat="1" applyFont="1" applyFill="1" applyBorder="1" applyAlignment="1" applyProtection="1">
      <alignment horizontal="center" vertical="center" wrapText="1"/>
      <protection locked="0"/>
    </xf>
    <xf numFmtId="0" fontId="25" fillId="8" borderId="10" xfId="0" applyFont="1" applyFill="1" applyBorder="1" applyAlignment="1" applyProtection="1">
      <alignment horizontal="left" vertical="center" wrapText="1"/>
      <protection locked="0"/>
    </xf>
    <xf numFmtId="0" fontId="5" fillId="8" borderId="10" xfId="0" applyFont="1" applyFill="1" applyBorder="1" applyAlignment="1">
      <alignment horizontal="center" vertical="center" wrapText="1"/>
    </xf>
    <xf numFmtId="3" fontId="5" fillId="8" borderId="10" xfId="0" applyNumberFormat="1" applyFont="1" applyFill="1" applyBorder="1" applyAlignment="1">
      <alignment horizontal="right" vertical="center" wrapText="1"/>
    </xf>
    <xf numFmtId="3" fontId="25" fillId="8" borderId="10" xfId="0" applyNumberFormat="1" applyFont="1" applyFill="1" applyBorder="1" applyAlignment="1">
      <alignment horizontal="right" vertical="center" wrapText="1"/>
    </xf>
    <xf numFmtId="166" fontId="5" fillId="8" borderId="10" xfId="0" applyNumberFormat="1" applyFont="1" applyFill="1" applyBorder="1" applyAlignment="1">
      <alignment horizontal="center" vertical="center" wrapText="1"/>
    </xf>
    <xf numFmtId="0" fontId="25" fillId="16" borderId="10" xfId="0" applyFont="1" applyFill="1" applyBorder="1" applyAlignment="1" applyProtection="1">
      <alignment horizontal="left" vertical="center" wrapText="1"/>
      <protection locked="0"/>
    </xf>
    <xf numFmtId="0" fontId="5" fillId="16" borderId="10" xfId="0" applyFont="1" applyFill="1" applyBorder="1" applyAlignment="1">
      <alignment horizontal="center" vertical="center" wrapText="1"/>
    </xf>
    <xf numFmtId="3" fontId="5" fillId="16" borderId="10" xfId="0" applyNumberFormat="1" applyFont="1" applyFill="1" applyBorder="1" applyAlignment="1">
      <alignment horizontal="right" vertical="center" wrapText="1"/>
    </xf>
    <xf numFmtId="3" fontId="25" fillId="16" borderId="10" xfId="0" applyNumberFormat="1" applyFont="1" applyFill="1" applyBorder="1" applyAlignment="1">
      <alignment horizontal="right" vertical="center" wrapText="1"/>
    </xf>
    <xf numFmtId="166" fontId="5" fillId="16" borderId="10" xfId="0" applyNumberFormat="1" applyFont="1" applyFill="1" applyBorder="1" applyAlignment="1">
      <alignment horizontal="center" vertical="center" wrapText="1"/>
    </xf>
    <xf numFmtId="0" fontId="4" fillId="2" borderId="10" xfId="0" applyFont="1" applyFill="1" applyBorder="1" applyAlignment="1" applyProtection="1">
      <alignment horizontal="right" vertical="center" wrapText="1"/>
      <protection locked="0"/>
    </xf>
    <xf numFmtId="3" fontId="4" fillId="2" borderId="10" xfId="0" applyNumberFormat="1" applyFont="1" applyFill="1" applyBorder="1" applyAlignment="1">
      <alignment horizontal="center" vertical="center" wrapText="1"/>
    </xf>
    <xf numFmtId="166" fontId="4" fillId="2" borderId="10" xfId="0" applyNumberFormat="1" applyFont="1" applyFill="1" applyBorder="1" applyAlignment="1">
      <alignment horizontal="center" vertical="center" wrapText="1"/>
    </xf>
    <xf numFmtId="0" fontId="5" fillId="8" borderId="10" xfId="0" applyFont="1" applyFill="1" applyBorder="1" applyAlignment="1" applyProtection="1">
      <alignment horizontal="left" vertical="center" wrapText="1"/>
      <protection locked="0"/>
    </xf>
    <xf numFmtId="0" fontId="5" fillId="16" borderId="10" xfId="0" applyFont="1" applyFill="1" applyBorder="1" applyAlignment="1" applyProtection="1">
      <alignment horizontal="left" vertical="center" wrapText="1"/>
      <protection locked="0"/>
    </xf>
    <xf numFmtId="3" fontId="11" fillId="7" borderId="10" xfId="0" applyNumberFormat="1" applyFont="1" applyFill="1" applyBorder="1" applyAlignment="1">
      <alignment horizontal="right" vertical="center" wrapText="1"/>
    </xf>
    <xf numFmtId="0" fontId="4" fillId="9" borderId="10" xfId="0" applyFont="1" applyFill="1" applyBorder="1" applyAlignment="1" applyProtection="1">
      <alignment horizontal="right" vertical="center" wrapText="1"/>
      <protection locked="0"/>
    </xf>
    <xf numFmtId="3" fontId="11" fillId="9" borderId="10" xfId="0" applyNumberFormat="1" applyFont="1" applyFill="1" applyBorder="1" applyAlignment="1">
      <alignment horizontal="right" vertical="center" wrapText="1"/>
    </xf>
    <xf numFmtId="0" fontId="5" fillId="8" borderId="10" xfId="0" applyFont="1" applyFill="1" applyBorder="1" applyAlignment="1">
      <alignment horizontal="left" vertical="center" wrapText="1"/>
    </xf>
    <xf numFmtId="3" fontId="5" fillId="8" borderId="10" xfId="0" applyNumberFormat="1" applyFont="1" applyFill="1" applyBorder="1" applyAlignment="1">
      <alignment horizontal="center" vertical="center" wrapText="1"/>
    </xf>
    <xf numFmtId="0" fontId="5" fillId="16" borderId="10" xfId="0" applyFont="1" applyFill="1" applyBorder="1" applyAlignment="1">
      <alignment horizontal="left" vertical="center" wrapText="1"/>
    </xf>
    <xf numFmtId="3" fontId="5" fillId="16" borderId="10" xfId="0" applyNumberFormat="1" applyFont="1" applyFill="1" applyBorder="1" applyAlignment="1">
      <alignment horizontal="center" vertical="center" wrapText="1"/>
    </xf>
    <xf numFmtId="3" fontId="11" fillId="2" borderId="10" xfId="0" applyNumberFormat="1" applyFont="1" applyFill="1" applyBorder="1" applyAlignment="1">
      <alignment horizontal="right" vertical="center" wrapText="1"/>
    </xf>
    <xf numFmtId="3" fontId="5" fillId="12" borderId="10" xfId="0" applyNumberFormat="1" applyFont="1" applyFill="1" applyBorder="1" applyAlignment="1">
      <alignment horizontal="right" vertical="center" wrapText="1"/>
    </xf>
    <xf numFmtId="9" fontId="25" fillId="12" borderId="10"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5" fillId="0" borderId="0" xfId="0" applyFont="1" applyBorder="1" applyAlignment="1" applyProtection="1">
      <alignment horizontal="left" vertical="center" wrapText="1"/>
      <protection locked="0"/>
    </xf>
    <xf numFmtId="0" fontId="17" fillId="2" borderId="1" xfId="0" applyFont="1" applyFill="1" applyBorder="1" applyAlignment="1" applyProtection="1">
      <alignment horizontal="center" vertical="center" wrapText="1"/>
      <protection locked="0"/>
    </xf>
    <xf numFmtId="0" fontId="17" fillId="7" borderId="6" xfId="0" applyFont="1" applyFill="1" applyBorder="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3" fontId="18" fillId="8" borderId="1" xfId="0" applyNumberFormat="1" applyFont="1" applyFill="1" applyBorder="1" applyAlignment="1">
      <alignment horizontal="center" vertical="center" wrapText="1"/>
    </xf>
    <xf numFmtId="3" fontId="19" fillId="8" borderId="6" xfId="0" applyNumberFormat="1" applyFont="1" applyFill="1" applyBorder="1" applyAlignment="1">
      <alignment horizontal="center" vertical="center" wrapText="1"/>
    </xf>
    <xf numFmtId="3" fontId="20" fillId="8" borderId="3" xfId="0" applyNumberFormat="1" applyFont="1" applyFill="1" applyBorder="1" applyAlignment="1">
      <alignment horizontal="center" vertical="center" wrapText="1"/>
    </xf>
    <xf numFmtId="0" fontId="17" fillId="9" borderId="7" xfId="0" applyFont="1" applyFill="1" applyBorder="1" applyAlignment="1" applyProtection="1">
      <alignment horizontal="center" vertical="center" wrapText="1"/>
      <protection locked="0"/>
    </xf>
    <xf numFmtId="0" fontId="17" fillId="10" borderId="8" xfId="0" applyFont="1" applyFill="1" applyBorder="1" applyAlignment="1" applyProtection="1">
      <alignment horizontal="center" vertical="center" wrapText="1"/>
      <protection locked="0"/>
    </xf>
    <xf numFmtId="3" fontId="21" fillId="8" borderId="7" xfId="0" applyNumberFormat="1" applyFont="1" applyFill="1" applyBorder="1" applyAlignment="1">
      <alignment horizontal="center" vertical="center" wrapText="1"/>
    </xf>
    <xf numFmtId="3" fontId="20" fillId="8" borderId="8" xfId="0" applyNumberFormat="1" applyFont="1" applyFill="1" applyBorder="1" applyAlignment="1">
      <alignment horizontal="center" vertical="center" wrapText="1"/>
    </xf>
    <xf numFmtId="0" fontId="17" fillId="11" borderId="9" xfId="0" applyFont="1" applyFill="1" applyBorder="1" applyAlignment="1" applyProtection="1">
      <alignment horizontal="center" vertical="center" wrapText="1"/>
      <protection locked="0"/>
    </xf>
    <xf numFmtId="3" fontId="22" fillId="8" borderId="9" xfId="0" applyNumberFormat="1" applyFont="1" applyFill="1" applyBorder="1" applyAlignment="1">
      <alignment horizontal="center" vertical="center" wrapText="1"/>
    </xf>
    <xf numFmtId="0" fontId="15" fillId="0" borderId="0" xfId="0" applyFont="1" applyBorder="1" applyAlignment="1" applyProtection="1">
      <alignment horizontal="center" vertical="center" wrapText="1"/>
      <protection locked="0"/>
    </xf>
    <xf numFmtId="0" fontId="23" fillId="4" borderId="0" xfId="0" applyFont="1" applyFill="1" applyBorder="1" applyAlignment="1">
      <alignment horizontal="left" vertical="center"/>
    </xf>
    <xf numFmtId="0" fontId="24" fillId="0" borderId="0" xfId="0" applyFont="1" applyBorder="1" applyAlignment="1"/>
    <xf numFmtId="0" fontId="29" fillId="2" borderId="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17" fillId="5" borderId="11" xfId="0" applyFont="1" applyFill="1" applyBorder="1" applyAlignment="1" applyProtection="1">
      <alignment horizontal="center" vertical="center" wrapText="1"/>
      <protection locked="0"/>
    </xf>
    <xf numFmtId="0" fontId="17" fillId="11" borderId="11" xfId="0" applyFont="1" applyFill="1" applyBorder="1" applyAlignment="1" applyProtection="1">
      <alignment horizontal="center" vertical="center" wrapText="1"/>
      <protection locked="0"/>
    </xf>
    <xf numFmtId="0" fontId="4" fillId="2" borderId="11" xfId="0" applyFont="1" applyFill="1" applyBorder="1" applyAlignment="1">
      <alignment horizontal="right" vertical="center" wrapText="1"/>
    </xf>
    <xf numFmtId="0" fontId="4" fillId="2" borderId="11" xfId="0" applyFont="1" applyFill="1" applyBorder="1" applyAlignment="1" applyProtection="1">
      <alignment horizontal="right" vertical="center" wrapText="1"/>
      <protection locked="0"/>
    </xf>
    <xf numFmtId="0" fontId="34" fillId="0" borderId="0" xfId="0" applyFont="1" applyBorder="1" applyAlignment="1" applyProtection="1">
      <alignment horizontal="left" vertical="top" wrapText="1"/>
      <protection locked="0"/>
    </xf>
    <xf numFmtId="0" fontId="35" fillId="0" borderId="0" xfId="0" applyFont="1" applyBorder="1" applyAlignment="1" applyProtection="1">
      <alignment horizontal="left" vertical="top" wrapText="1"/>
      <protection locked="0"/>
    </xf>
    <xf numFmtId="0" fontId="29" fillId="2" borderId="0" xfId="0" applyFont="1" applyFill="1" applyBorder="1" applyAlignment="1" applyProtection="1">
      <alignment horizontal="center" vertical="center"/>
      <protection locked="0"/>
    </xf>
    <xf numFmtId="0" fontId="3" fillId="3" borderId="0" xfId="0" applyFont="1" applyFill="1" applyBorder="1" applyAlignment="1">
      <alignment horizontal="center" vertical="center"/>
    </xf>
    <xf numFmtId="0" fontId="4" fillId="9" borderId="11" xfId="0" applyFont="1" applyFill="1" applyBorder="1" applyAlignment="1" applyProtection="1">
      <alignment horizontal="right" vertical="center" wrapText="1"/>
      <protection locked="0"/>
    </xf>
    <xf numFmtId="0" fontId="17" fillId="2" borderId="10"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left" vertical="center" wrapText="1"/>
      <protection locked="0"/>
    </xf>
    <xf numFmtId="0" fontId="5" fillId="6" borderId="10" xfId="0" applyFont="1" applyFill="1" applyBorder="1" applyAlignment="1" applyProtection="1">
      <alignment horizontal="center" vertical="center" wrapText="1"/>
      <protection locked="0"/>
    </xf>
    <xf numFmtId="0" fontId="0" fillId="2" borderId="10" xfId="0" applyFill="1" applyBorder="1" applyAlignment="1" applyProtection="1">
      <protection locked="0"/>
    </xf>
    <xf numFmtId="0" fontId="37" fillId="4" borderId="0" xfId="0" applyFont="1" applyFill="1" applyBorder="1" applyAlignment="1" applyProtection="1">
      <alignment horizontal="left" vertical="center" wrapText="1"/>
      <protection locked="0"/>
    </xf>
    <xf numFmtId="0" fontId="5" fillId="15"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right" vertical="center" wrapText="1"/>
      <protection locked="0"/>
    </xf>
    <xf numFmtId="0" fontId="39" fillId="2" borderId="0" xfId="0" applyFont="1" applyFill="1" applyBorder="1" applyAlignment="1" applyProtection="1">
      <alignment horizontal="center" vertical="center" wrapText="1"/>
      <protection locked="0"/>
    </xf>
  </cellXfs>
  <cellStyles count="1">
    <cellStyle name="Normal" xfId="0" builtinId="0"/>
  </cellStyles>
  <dxfs count="19">
    <dxf>
      <font>
        <b/>
        <color rgb="FF9C5800"/>
        <name val="Times New Roman"/>
        <charset val="1"/>
      </font>
      <fill>
        <patternFill>
          <bgColor rgb="FFFFE8CC"/>
        </patternFill>
      </fill>
    </dxf>
    <dxf>
      <font>
        <b/>
        <color rgb="FF1F7A38"/>
        <name val="Times New Roman"/>
        <charset val="1"/>
      </font>
      <fill>
        <patternFill>
          <bgColor rgb="FFD6EFD6"/>
        </patternFill>
      </fill>
    </dxf>
    <dxf>
      <font>
        <b/>
        <color rgb="FFC00000"/>
        <name val="Times New Roman"/>
        <charset val="1"/>
      </font>
      <fill>
        <patternFill>
          <bgColor rgb="FFFCE4E4"/>
        </patternFill>
      </fill>
    </dxf>
    <dxf>
      <font>
        <b/>
        <color rgb="FFC00000"/>
        <name val="Times New Roman"/>
        <charset val="1"/>
      </font>
      <fill>
        <patternFill>
          <bgColor rgb="FFFCE4E4"/>
        </patternFill>
      </fill>
    </dxf>
    <dxf>
      <fill>
        <patternFill>
          <bgColor rgb="FFE2E5EA"/>
        </patternFill>
      </fill>
    </dxf>
    <dxf>
      <fill>
        <patternFill>
          <bgColor rgb="FFD6EFD6"/>
        </patternFill>
      </fill>
    </dxf>
    <dxf>
      <font>
        <b/>
        <color rgb="FF9C0006"/>
      </font>
      <fill>
        <patternFill>
          <bgColor rgb="FFFFC7CE"/>
        </patternFill>
      </fill>
    </dxf>
    <dxf>
      <fill>
        <patternFill>
          <bgColor rgb="FFD6EFD6"/>
        </patternFill>
      </fill>
    </dxf>
    <dxf>
      <font>
        <b/>
        <color rgb="FFC00000"/>
        <name val="Times New Roman"/>
        <charset val="1"/>
      </font>
      <fill>
        <patternFill>
          <bgColor rgb="FFFCE4E4"/>
        </patternFill>
      </fill>
    </dxf>
    <dxf>
      <font>
        <color rgb="FF9C5800"/>
        <name val="Times New Roman"/>
        <charset val="1"/>
      </font>
      <fill>
        <patternFill>
          <bgColor rgb="FFFFE8CC"/>
        </patternFill>
      </fill>
    </dxf>
    <dxf>
      <font>
        <b/>
        <color rgb="FFC00000"/>
        <name val="Times New Roman"/>
        <charset val="1"/>
      </font>
      <fill>
        <patternFill>
          <bgColor rgb="FFFCE4E4"/>
        </patternFill>
      </fill>
    </dxf>
    <dxf>
      <font>
        <b/>
        <color rgb="FFC00000"/>
        <name val="Times New Roman"/>
        <charset val="1"/>
      </font>
      <fill>
        <patternFill>
          <bgColor rgb="FFFCE4E4"/>
        </patternFill>
      </fill>
    </dxf>
    <dxf>
      <font>
        <b/>
        <color rgb="FFC00000"/>
        <name val="Times New Roman"/>
        <charset val="1"/>
      </font>
      <fill>
        <patternFill>
          <bgColor rgb="FFFCE4E4"/>
        </patternFill>
      </fill>
    </dxf>
    <dxf>
      <font>
        <b/>
        <color rgb="FF9C5800"/>
        <name val="Times New Roman"/>
        <charset val="1"/>
      </font>
      <fill>
        <patternFill>
          <bgColor rgb="FFFFE8CC"/>
        </patternFill>
      </fill>
    </dxf>
    <dxf>
      <font>
        <b/>
        <color rgb="FFC00000"/>
        <name val="Times New Roman"/>
        <charset val="1"/>
      </font>
      <fill>
        <patternFill>
          <bgColor rgb="FFFCE4E4"/>
        </patternFill>
      </fill>
    </dxf>
    <dxf>
      <font>
        <b/>
        <color rgb="FFC00000"/>
        <name val="Times New Roman"/>
        <charset val="1"/>
      </font>
      <fill>
        <patternFill>
          <bgColor rgb="FFFCE4E4"/>
        </patternFill>
      </fill>
    </dxf>
    <dxf>
      <fill>
        <patternFill>
          <bgColor rgb="FFFCE4E4"/>
        </patternFill>
      </fill>
    </dxf>
    <dxf>
      <font>
        <b/>
        <color rgb="FFC00000"/>
        <name val="Times New Roman"/>
        <charset val="1"/>
      </font>
      <fill>
        <patternFill>
          <bgColor rgb="FFFCE4E4"/>
        </patternFill>
      </fill>
    </dxf>
    <dxf>
      <font>
        <b/>
        <color rgb="FFC00000"/>
        <name val="Times New Roman"/>
        <charset val="1"/>
      </font>
      <fill>
        <patternFill>
          <bgColor rgb="FFFCE4E4"/>
        </patternFill>
      </fill>
    </dxf>
  </dxfs>
  <tableStyles count="0" defaultTableStyle="TableStyleMedium2" defaultPivotStyle="PivotStyleLight16"/>
  <colors>
    <indexedColors>
      <rgbColor rgb="FF000000"/>
      <rgbColor rgb="FFFFFFFF"/>
      <rgbColor rgb="FFC00000"/>
      <rgbColor rgb="FF00FF00"/>
      <rgbColor rgb="FF0000FF"/>
      <rgbColor rgb="FFFFE8CC"/>
      <rgbColor rgb="FFFF00FF"/>
      <rgbColor rgb="FF00FFFF"/>
      <rgbColor rgb="FF9C0006"/>
      <rgbColor rgb="FF1F7A38"/>
      <rgbColor rgb="FF000080"/>
      <rgbColor rgb="FF9C5800"/>
      <rgbColor rgb="FF800080"/>
      <rgbColor rgb="FF1F6F54"/>
      <rgbColor rgb="FFBFC9D9"/>
      <rgbColor rgb="FF518ABD"/>
      <rgbColor rgb="FF5B9BD5"/>
      <rgbColor rgb="FF6B3FA0"/>
      <rgbColor rgb="FFFFF4CC"/>
      <rgbColor rgb="FFEDEFF2"/>
      <rgbColor rgb="FF660066"/>
      <rgbColor rgb="FFD9D9D9"/>
      <rgbColor rgb="FF0563C1"/>
      <rgbColor rgb="FFC9D4E2"/>
      <rgbColor rgb="FF000080"/>
      <rgbColor rgb="FFFF00FF"/>
      <rgbColor rgb="FFFCE4E4"/>
      <rgbColor rgb="FF00FFFF"/>
      <rgbColor rgb="FF800080"/>
      <rgbColor rgb="FF800000"/>
      <rgbColor rgb="FF008080"/>
      <rgbColor rgb="FF0000FF"/>
      <rgbColor rgb="FF00CCFF"/>
      <rgbColor rgb="FFF5F8FC"/>
      <rgbColor rgb="FFD6EFD6"/>
      <rgbColor rgb="FFFFF2CC"/>
      <rgbColor rgb="FF98B8DF"/>
      <rgbColor rgb="FFF1A78B"/>
      <rgbColor rgb="FFB3B3B3"/>
      <rgbColor rgb="FFFFC7CE"/>
      <rgbColor rgb="FF3C65AE"/>
      <rgbColor rgb="FF33CCCC"/>
      <rgbColor rgb="FFE2E5EA"/>
      <rgbColor rgb="FFFCC55E"/>
      <rgbColor rgb="FFE3AB00"/>
      <rgbColor rgb="FFD36F2B"/>
      <rgbColor rgb="FF5A6B82"/>
      <rgbColor rgb="FF929292"/>
      <rgbColor rgb="FF13305E"/>
      <rgbColor rgb="FF639A3F"/>
      <rgbColor rgb="FF003300"/>
      <rgbColor rgb="FF333300"/>
      <rgbColor rgb="FFB23A00"/>
      <rgbColor rgb="FFB8651B"/>
      <rgbColor rgb="FF2C4A78"/>
      <rgbColor rgb="FF59595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Doanh thu theo ngày</a:t>
            </a:r>
          </a:p>
        </c:rich>
      </c:tx>
      <c:overlay val="0"/>
      <c:spPr>
        <a:noFill/>
        <a:ln w="0">
          <a:noFill/>
        </a:ln>
      </c:spPr>
    </c:title>
    <c:autoTitleDeleted val="0"/>
    <c:plotArea>
      <c:layout/>
      <c:barChart>
        <c:barDir val="col"/>
        <c:grouping val="clustered"/>
        <c:varyColors val="0"/>
        <c:ser>
          <c:idx val="0"/>
          <c:order val="0"/>
          <c:tx>
            <c:strRef>
              <c:f>DASHBOARD!$O$3</c:f>
              <c:strCache>
                <c:ptCount val="1"/>
                <c:pt idx="0">
                  <c:v>Doanh thu</c:v>
                </c:pt>
              </c:strCache>
            </c:strRef>
          </c:tx>
          <c:spPr>
            <a:solidFill>
              <a:srgbClr val="5B9BD5"/>
            </a:solidFill>
            <a:ln w="0">
              <a:solidFill>
                <a:srgbClr val="000000"/>
              </a:solidFill>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DASHBOARD!$N$4:$N$34</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DASHBOARD!$O$4:$O$34</c:f>
              <c:numCache>
                <c:formatCode>#,##0</c:formatCode>
                <c:ptCount val="31"/>
                <c:pt idx="0">
                  <c:v>0</c:v>
                </c:pt>
                <c:pt idx="1">
                  <c:v>300000</c:v>
                </c:pt>
                <c:pt idx="2">
                  <c:v>0</c:v>
                </c:pt>
                <c:pt idx="3">
                  <c:v>150000</c:v>
                </c:pt>
                <c:pt idx="4">
                  <c:v>1410000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4B8D-4C00-864E-44008DB6241D}"/>
            </c:ext>
          </c:extLst>
        </c:ser>
        <c:dLbls>
          <c:showLegendKey val="0"/>
          <c:showVal val="0"/>
          <c:showCatName val="0"/>
          <c:showSerName val="0"/>
          <c:showPercent val="0"/>
          <c:showBubbleSize val="0"/>
        </c:dLbls>
        <c:gapWidth val="150"/>
        <c:axId val="19316612"/>
        <c:axId val="58949578"/>
      </c:barChart>
      <c:catAx>
        <c:axId val="19316612"/>
        <c:scaling>
          <c:orientation val="minMax"/>
        </c:scaling>
        <c:delete val="0"/>
        <c:axPos val="b"/>
        <c:title>
          <c:tx>
            <c:rich>
              <a:bodyPr rot="0"/>
              <a:lstStyle/>
              <a:p>
                <a:pPr>
                  <a:defRPr sz="1000" b="1" strike="noStrike" spc="-1">
                    <a:solidFill>
                      <a:srgbClr val="000000"/>
                    </a:solidFill>
                    <a:latin typeface="Calibri"/>
                  </a:defRPr>
                </a:pPr>
                <a:r>
                  <a:rPr lang="en-US" sz="1000" b="1" strike="noStrike" spc="-1">
                    <a:solidFill>
                      <a:srgbClr val="000000"/>
                    </a:solidFill>
                    <a:latin typeface="Calibri"/>
                  </a:rPr>
                  <a:t>Ngày trong tháng</a:t>
                </a:r>
              </a:p>
            </c:rich>
          </c:tx>
          <c:overlay val="0"/>
          <c:spPr>
            <a:noFill/>
            <a:ln w="0">
              <a:noFill/>
            </a:ln>
          </c:spPr>
        </c:title>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58949578"/>
        <c:crosses val="autoZero"/>
        <c:auto val="1"/>
        <c:lblAlgn val="ctr"/>
        <c:lblOffset val="100"/>
        <c:noMultiLvlLbl val="0"/>
      </c:catAx>
      <c:valAx>
        <c:axId val="58949578"/>
        <c:scaling>
          <c:orientation val="minMax"/>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Đồng</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19316612"/>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sz="1800" b="1" strike="noStrike" spc="-1">
                <a:solidFill>
                  <a:srgbClr val="000000"/>
                </a:solidFill>
                <a:latin typeface="Calibri"/>
              </a:rPr>
              <a:t>Doanh thu theo kênh bán</a:t>
            </a:r>
          </a:p>
        </c:rich>
      </c:tx>
      <c:overlay val="0"/>
      <c:spPr>
        <a:noFill/>
        <a:ln w="0">
          <a:noFill/>
        </a:ln>
      </c:spPr>
    </c:title>
    <c:autoTitleDeleted val="0"/>
    <c:plotArea>
      <c:layout/>
      <c:pieChart>
        <c:varyColors val="1"/>
        <c:ser>
          <c:idx val="0"/>
          <c:order val="0"/>
          <c:tx>
            <c:strRef>
              <c:f>DASHBOARD!$O$37</c:f>
              <c:strCache>
                <c:ptCount val="1"/>
                <c:pt idx="0">
                  <c:v>Doanh thu</c:v>
                </c:pt>
              </c:strCache>
            </c:strRef>
          </c:tx>
          <c:spPr>
            <a:solidFill>
              <a:srgbClr val="5B9BD5"/>
            </a:solidFill>
            <a:ln w="0">
              <a:solidFill>
                <a:srgbClr val="000000"/>
              </a:solidFill>
            </a:ln>
          </c:spPr>
          <c:dPt>
            <c:idx val="0"/>
            <c:bubble3D val="0"/>
            <c:spPr>
              <a:solidFill>
                <a:srgbClr val="518ABD"/>
              </a:solidFill>
              <a:ln w="0">
                <a:solidFill>
                  <a:srgbClr val="000000"/>
                </a:solidFill>
              </a:ln>
            </c:spPr>
            <c:extLst>
              <c:ext xmlns:c16="http://schemas.microsoft.com/office/drawing/2014/chart" uri="{C3380CC4-5D6E-409C-BE32-E72D297353CC}">
                <c16:uniqueId val="{00000001-634A-42B3-AB83-BCCA91F0301A}"/>
              </c:ext>
            </c:extLst>
          </c:dPt>
          <c:dPt>
            <c:idx val="1"/>
            <c:bubble3D val="0"/>
            <c:spPr>
              <a:solidFill>
                <a:srgbClr val="D36F2B"/>
              </a:solidFill>
              <a:ln w="0">
                <a:solidFill>
                  <a:srgbClr val="000000"/>
                </a:solidFill>
              </a:ln>
            </c:spPr>
            <c:extLst>
              <c:ext xmlns:c16="http://schemas.microsoft.com/office/drawing/2014/chart" uri="{C3380CC4-5D6E-409C-BE32-E72D297353CC}">
                <c16:uniqueId val="{00000003-634A-42B3-AB83-BCCA91F0301A}"/>
              </c:ext>
            </c:extLst>
          </c:dPt>
          <c:dPt>
            <c:idx val="2"/>
            <c:bubble3D val="0"/>
            <c:spPr>
              <a:solidFill>
                <a:srgbClr val="929292"/>
              </a:solidFill>
              <a:ln w="0">
                <a:solidFill>
                  <a:srgbClr val="000000"/>
                </a:solidFill>
              </a:ln>
            </c:spPr>
            <c:extLst>
              <c:ext xmlns:c16="http://schemas.microsoft.com/office/drawing/2014/chart" uri="{C3380CC4-5D6E-409C-BE32-E72D297353CC}">
                <c16:uniqueId val="{00000005-634A-42B3-AB83-BCCA91F0301A}"/>
              </c:ext>
            </c:extLst>
          </c:dPt>
          <c:dPt>
            <c:idx val="3"/>
            <c:bubble3D val="0"/>
            <c:spPr>
              <a:solidFill>
                <a:srgbClr val="E3AB00"/>
              </a:solidFill>
              <a:ln w="0">
                <a:solidFill>
                  <a:srgbClr val="000000"/>
                </a:solidFill>
              </a:ln>
            </c:spPr>
            <c:extLst>
              <c:ext xmlns:c16="http://schemas.microsoft.com/office/drawing/2014/chart" uri="{C3380CC4-5D6E-409C-BE32-E72D297353CC}">
                <c16:uniqueId val="{00000007-634A-42B3-AB83-BCCA91F0301A}"/>
              </c:ext>
            </c:extLst>
          </c:dPt>
          <c:dPt>
            <c:idx val="4"/>
            <c:bubble3D val="0"/>
            <c:spPr>
              <a:solidFill>
                <a:srgbClr val="3C65AE"/>
              </a:solidFill>
              <a:ln w="0">
                <a:solidFill>
                  <a:srgbClr val="000000"/>
                </a:solidFill>
              </a:ln>
            </c:spPr>
            <c:extLst>
              <c:ext xmlns:c16="http://schemas.microsoft.com/office/drawing/2014/chart" uri="{C3380CC4-5D6E-409C-BE32-E72D297353CC}">
                <c16:uniqueId val="{00000009-634A-42B3-AB83-BCCA91F0301A}"/>
              </c:ext>
            </c:extLst>
          </c:dPt>
          <c:dPt>
            <c:idx val="5"/>
            <c:bubble3D val="0"/>
            <c:spPr>
              <a:solidFill>
                <a:srgbClr val="639A3F"/>
              </a:solidFill>
              <a:ln w="0">
                <a:solidFill>
                  <a:srgbClr val="000000"/>
                </a:solidFill>
              </a:ln>
            </c:spPr>
            <c:extLst>
              <c:ext xmlns:c16="http://schemas.microsoft.com/office/drawing/2014/chart" uri="{C3380CC4-5D6E-409C-BE32-E72D297353CC}">
                <c16:uniqueId val="{0000000B-634A-42B3-AB83-BCCA91F0301A}"/>
              </c:ext>
            </c:extLst>
          </c:dPt>
          <c:dPt>
            <c:idx val="6"/>
            <c:bubble3D val="0"/>
            <c:spPr>
              <a:solidFill>
                <a:srgbClr val="98B8DF"/>
              </a:solidFill>
              <a:ln w="0">
                <a:solidFill>
                  <a:srgbClr val="000000"/>
                </a:solidFill>
              </a:ln>
            </c:spPr>
            <c:extLst>
              <c:ext xmlns:c16="http://schemas.microsoft.com/office/drawing/2014/chart" uri="{C3380CC4-5D6E-409C-BE32-E72D297353CC}">
                <c16:uniqueId val="{0000000D-634A-42B3-AB83-BCCA91F0301A}"/>
              </c:ext>
            </c:extLst>
          </c:dPt>
          <c:dPt>
            <c:idx val="7"/>
            <c:bubble3D val="0"/>
            <c:spPr>
              <a:solidFill>
                <a:srgbClr val="F1A78B"/>
              </a:solidFill>
              <a:ln w="0">
                <a:solidFill>
                  <a:srgbClr val="000000"/>
                </a:solidFill>
              </a:ln>
            </c:spPr>
            <c:extLst>
              <c:ext xmlns:c16="http://schemas.microsoft.com/office/drawing/2014/chart" uri="{C3380CC4-5D6E-409C-BE32-E72D297353CC}">
                <c16:uniqueId val="{0000000F-634A-42B3-AB83-BCCA91F0301A}"/>
              </c:ext>
            </c:extLst>
          </c:dPt>
          <c:dLbls>
            <c:dLbl>
              <c:idx val="0"/>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6="http://schemas.microsoft.com/office/drawing/2014/chart" uri="{C3380CC4-5D6E-409C-BE32-E72D297353CC}">
                  <c16:uniqueId val="{00000001-634A-42B3-AB83-BCCA91F0301A}"/>
                </c:ext>
              </c:extLst>
            </c:dLbl>
            <c:dLbl>
              <c:idx val="1"/>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6="http://schemas.microsoft.com/office/drawing/2014/chart" uri="{C3380CC4-5D6E-409C-BE32-E72D297353CC}">
                  <c16:uniqueId val="{00000003-634A-42B3-AB83-BCCA91F0301A}"/>
                </c:ext>
              </c:extLst>
            </c:dLbl>
            <c:dLbl>
              <c:idx val="2"/>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6="http://schemas.microsoft.com/office/drawing/2014/chart" uri="{C3380CC4-5D6E-409C-BE32-E72D297353CC}">
                  <c16:uniqueId val="{00000005-634A-42B3-AB83-BCCA91F0301A}"/>
                </c:ext>
              </c:extLst>
            </c:dLbl>
            <c:dLbl>
              <c:idx val="3"/>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6="http://schemas.microsoft.com/office/drawing/2014/chart" uri="{C3380CC4-5D6E-409C-BE32-E72D297353CC}">
                  <c16:uniqueId val="{00000007-634A-42B3-AB83-BCCA91F0301A}"/>
                </c:ext>
              </c:extLst>
            </c:dLbl>
            <c:dLbl>
              <c:idx val="4"/>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6="http://schemas.microsoft.com/office/drawing/2014/chart" uri="{C3380CC4-5D6E-409C-BE32-E72D297353CC}">
                  <c16:uniqueId val="{00000009-634A-42B3-AB83-BCCA91F0301A}"/>
                </c:ext>
              </c:extLst>
            </c:dLbl>
            <c:dLbl>
              <c:idx val="5"/>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6="http://schemas.microsoft.com/office/drawing/2014/chart" uri="{C3380CC4-5D6E-409C-BE32-E72D297353CC}">
                  <c16:uniqueId val="{0000000B-634A-42B3-AB83-BCCA91F0301A}"/>
                </c:ext>
              </c:extLst>
            </c:dLbl>
            <c:dLbl>
              <c:idx val="6"/>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6="http://schemas.microsoft.com/office/drawing/2014/chart" uri="{C3380CC4-5D6E-409C-BE32-E72D297353CC}">
                  <c16:uniqueId val="{0000000D-634A-42B3-AB83-BCCA91F0301A}"/>
                </c:ext>
              </c:extLst>
            </c:dLbl>
            <c:dLbl>
              <c:idx val="7"/>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extLst>
                <c:ext xmlns:c16="http://schemas.microsoft.com/office/drawing/2014/chart" uri="{C3380CC4-5D6E-409C-BE32-E72D297353CC}">
                  <c16:uniqueId val="{0000000F-634A-42B3-AB83-BCCA91F0301A}"/>
                </c:ext>
              </c:extLst>
            </c:dLbl>
            <c:spPr>
              <a:noFill/>
              <a:ln>
                <a:noFill/>
              </a:ln>
              <a:effectLst/>
            </c:spPr>
            <c:txPr>
              <a:bodyPr wrap="square"/>
              <a:lstStyle/>
              <a:p>
                <a:pPr>
                  <a:defRPr sz="1000" b="0" strike="noStrike" spc="-1">
                    <a:solidFill>
                      <a:srgbClr val="000000"/>
                    </a:solidFill>
                    <a:latin typeface="Arial"/>
                  </a:defRPr>
                </a:pPr>
                <a:endParaRPr lang="en-US"/>
              </a:p>
            </c:txPr>
            <c:dLblPos val="bestFit"/>
            <c:showLegendKey val="0"/>
            <c:showVal val="0"/>
            <c:showCatName val="0"/>
            <c:showSerName val="0"/>
            <c:showPercent val="0"/>
            <c:showBubbleSize val="1"/>
            <c:separator>; </c:separator>
            <c:showLeaderLines val="1"/>
            <c:extLst>
              <c:ext xmlns:c15="http://schemas.microsoft.com/office/drawing/2012/chart" uri="{CE6537A1-D6FC-4f65-9D91-7224C49458BB}"/>
            </c:extLst>
          </c:dLbls>
          <c:cat>
            <c:strRef>
              <c:f>DASHBOARD!$N$38:$N$45</c:f>
              <c:strCache>
                <c:ptCount val="8"/>
                <c:pt idx="0">
                  <c:v>Website</c:v>
                </c:pt>
                <c:pt idx="1">
                  <c:v>Shopee</c:v>
                </c:pt>
                <c:pt idx="2">
                  <c:v>TikTok Shop</c:v>
                </c:pt>
                <c:pt idx="3">
                  <c:v>Lazada</c:v>
                </c:pt>
                <c:pt idx="4">
                  <c:v>Zalo</c:v>
                </c:pt>
                <c:pt idx="5">
                  <c:v>Facebook</c:v>
                </c:pt>
                <c:pt idx="6">
                  <c:v>Trực tiếp</c:v>
                </c:pt>
                <c:pt idx="7">
                  <c:v>Khác</c:v>
                </c:pt>
              </c:strCache>
            </c:strRef>
          </c:cat>
          <c:val>
            <c:numRef>
              <c:f>DASHBOARD!$O$38:$O$45</c:f>
              <c:numCache>
                <c:formatCode>#,##0</c:formatCode>
                <c:ptCount val="8"/>
                <c:pt idx="0">
                  <c:v>0</c:v>
                </c:pt>
                <c:pt idx="1">
                  <c:v>0</c:v>
                </c:pt>
                <c:pt idx="2">
                  <c:v>0</c:v>
                </c:pt>
                <c:pt idx="3">
                  <c:v>0</c:v>
                </c:pt>
                <c:pt idx="4">
                  <c:v>1560000</c:v>
                </c:pt>
                <c:pt idx="5">
                  <c:v>300000</c:v>
                </c:pt>
                <c:pt idx="6">
                  <c:v>0</c:v>
                </c:pt>
                <c:pt idx="7">
                  <c:v>0</c:v>
                </c:pt>
              </c:numCache>
            </c:numRef>
          </c:val>
          <c:extLst>
            <c:ext xmlns:c16="http://schemas.microsoft.com/office/drawing/2014/chart" uri="{C3380CC4-5D6E-409C-BE32-E72D297353CC}">
              <c16:uniqueId val="{00000010-634A-42B3-AB83-BCCA91F0301A}"/>
            </c:ext>
          </c:extLst>
        </c:ser>
        <c:dLbls>
          <c:showLegendKey val="0"/>
          <c:showVal val="0"/>
          <c:showCatName val="0"/>
          <c:showSerName val="0"/>
          <c:showPercent val="0"/>
          <c:showBubbleSize val="0"/>
          <c:showLeaderLines val="1"/>
        </c:dLbls>
        <c:firstSliceAng val="0"/>
      </c:pieChart>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10</xdr:col>
      <xdr:colOff>334800</xdr:colOff>
      <xdr:row>35</xdr:row>
      <xdr:rowOff>159480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38</xdr:row>
      <xdr:rowOff>0</xdr:rowOff>
    </xdr:from>
    <xdr:to>
      <xdr:col>5</xdr:col>
      <xdr:colOff>165600</xdr:colOff>
      <xdr:row>56</xdr:row>
      <xdr:rowOff>159120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6"/>
  <sheetViews>
    <sheetView showGridLines="0" zoomScaleNormal="100" workbookViewId="0">
      <selection activeCell="F6" sqref="F6"/>
    </sheetView>
  </sheetViews>
  <sheetFormatPr defaultColWidth="8.6640625" defaultRowHeight="14.4" x14ac:dyDescent="0.3"/>
  <cols>
    <col min="1" max="1" width="3" style="13" customWidth="1"/>
    <col min="2" max="2" width="30" style="13" customWidth="1"/>
    <col min="3" max="3" width="95" style="13" customWidth="1"/>
  </cols>
  <sheetData>
    <row r="1" spans="1:3" ht="30" customHeight="1" x14ac:dyDescent="0.3">
      <c r="A1" s="14"/>
      <c r="B1" s="12" t="s">
        <v>0</v>
      </c>
      <c r="C1" s="12"/>
    </row>
    <row r="2" spans="1:3" ht="15" customHeight="1" x14ac:dyDescent="0.3">
      <c r="A2" s="14"/>
      <c r="B2" s="11" t="s">
        <v>1</v>
      </c>
      <c r="C2" s="11"/>
    </row>
    <row r="3" spans="1:3" ht="21.75" customHeight="1" x14ac:dyDescent="0.3">
      <c r="A3" s="14"/>
      <c r="B3" s="10" t="s">
        <v>2</v>
      </c>
      <c r="C3" s="10"/>
    </row>
    <row r="4" spans="1:3" ht="21.75" customHeight="1" x14ac:dyDescent="0.3">
      <c r="A4" s="14"/>
      <c r="B4" s="9" t="s">
        <v>3</v>
      </c>
      <c r="C4" s="9"/>
    </row>
    <row r="5" spans="1:3" ht="30" customHeight="1" x14ac:dyDescent="0.3">
      <c r="A5" s="14"/>
      <c r="B5" s="15" t="s">
        <v>4</v>
      </c>
      <c r="C5" s="16" t="s">
        <v>5</v>
      </c>
    </row>
    <row r="6" spans="1:3" ht="30" customHeight="1" x14ac:dyDescent="0.3">
      <c r="A6" s="14"/>
      <c r="B6" s="15" t="s">
        <v>6</v>
      </c>
      <c r="C6" s="16" t="s">
        <v>7</v>
      </c>
    </row>
    <row r="7" spans="1:3" ht="30" customHeight="1" x14ac:dyDescent="0.3">
      <c r="A7" s="14"/>
      <c r="B7" s="15" t="s">
        <v>8</v>
      </c>
      <c r="C7" s="16" t="s">
        <v>9</v>
      </c>
    </row>
    <row r="8" spans="1:3" ht="30" customHeight="1" x14ac:dyDescent="0.3">
      <c r="A8" s="14"/>
      <c r="B8" s="15" t="s">
        <v>10</v>
      </c>
      <c r="C8" s="16" t="s">
        <v>11</v>
      </c>
    </row>
    <row r="9" spans="1:3" ht="21.75" customHeight="1" x14ac:dyDescent="0.3">
      <c r="A9" s="14"/>
      <c r="B9" s="9" t="s">
        <v>12</v>
      </c>
      <c r="C9" s="9"/>
    </row>
    <row r="10" spans="1:3" ht="30" customHeight="1" x14ac:dyDescent="0.3">
      <c r="A10" s="14"/>
      <c r="B10" s="15" t="s">
        <v>13</v>
      </c>
      <c r="C10" s="16" t="s">
        <v>14</v>
      </c>
    </row>
    <row r="11" spans="1:3" ht="30" customHeight="1" x14ac:dyDescent="0.3">
      <c r="A11" s="14"/>
      <c r="B11" s="15" t="s">
        <v>15</v>
      </c>
      <c r="C11" s="16" t="s">
        <v>16</v>
      </c>
    </row>
    <row r="12" spans="1:3" ht="30" customHeight="1" x14ac:dyDescent="0.3">
      <c r="A12" s="14"/>
      <c r="B12" s="15" t="s">
        <v>17</v>
      </c>
      <c r="C12" s="16" t="s">
        <v>18</v>
      </c>
    </row>
    <row r="13" spans="1:3" ht="21.75" customHeight="1" x14ac:dyDescent="0.3">
      <c r="A13" s="14"/>
      <c r="B13" s="9" t="s">
        <v>19</v>
      </c>
      <c r="C13" s="9"/>
    </row>
    <row r="14" spans="1:3" ht="30" customHeight="1" x14ac:dyDescent="0.3">
      <c r="A14" s="14"/>
      <c r="B14" s="15" t="s">
        <v>20</v>
      </c>
      <c r="C14" s="16" t="s">
        <v>21</v>
      </c>
    </row>
    <row r="15" spans="1:3" ht="30" customHeight="1" x14ac:dyDescent="0.3">
      <c r="A15" s="14"/>
      <c r="B15" s="15" t="s">
        <v>22</v>
      </c>
      <c r="C15" s="16" t="s">
        <v>23</v>
      </c>
    </row>
    <row r="16" spans="1:3" ht="30" customHeight="1" x14ac:dyDescent="0.3">
      <c r="A16" s="14"/>
      <c r="B16" s="15" t="s">
        <v>24</v>
      </c>
      <c r="C16" s="16" t="s">
        <v>25</v>
      </c>
    </row>
    <row r="17" spans="1:3" ht="30" customHeight="1" x14ac:dyDescent="0.3">
      <c r="A17" s="14"/>
      <c r="B17" s="15" t="s">
        <v>26</v>
      </c>
      <c r="C17" s="16" t="s">
        <v>27</v>
      </c>
    </row>
    <row r="18" spans="1:3" ht="30" customHeight="1" x14ac:dyDescent="0.3">
      <c r="A18" s="14"/>
      <c r="B18" s="15" t="s">
        <v>28</v>
      </c>
      <c r="C18" s="16" t="s">
        <v>29</v>
      </c>
    </row>
    <row r="19" spans="1:3" ht="21.75" customHeight="1" x14ac:dyDescent="0.3">
      <c r="A19" s="14"/>
      <c r="B19" s="9" t="s">
        <v>30</v>
      </c>
      <c r="C19" s="9"/>
    </row>
    <row r="20" spans="1:3" ht="30" customHeight="1" x14ac:dyDescent="0.3">
      <c r="A20" s="14"/>
      <c r="B20" s="15" t="s">
        <v>31</v>
      </c>
      <c r="C20" s="16" t="s">
        <v>32</v>
      </c>
    </row>
    <row r="21" spans="1:3" ht="30" customHeight="1" x14ac:dyDescent="0.3">
      <c r="A21" s="14"/>
      <c r="B21" s="15" t="s">
        <v>33</v>
      </c>
      <c r="C21" s="16" t="s">
        <v>34</v>
      </c>
    </row>
    <row r="22" spans="1:3" ht="21.75" customHeight="1" x14ac:dyDescent="0.3">
      <c r="A22" s="14"/>
      <c r="B22" s="9" t="s">
        <v>35</v>
      </c>
      <c r="C22" s="9"/>
    </row>
    <row r="23" spans="1:3" ht="30" customHeight="1" x14ac:dyDescent="0.3">
      <c r="A23" s="14"/>
      <c r="B23" s="15" t="s">
        <v>36</v>
      </c>
      <c r="C23" s="16" t="s">
        <v>37</v>
      </c>
    </row>
    <row r="24" spans="1:3" ht="30" customHeight="1" x14ac:dyDescent="0.3">
      <c r="A24" s="14"/>
      <c r="B24" s="15" t="s">
        <v>38</v>
      </c>
      <c r="C24" s="16" t="s">
        <v>39</v>
      </c>
    </row>
    <row r="25" spans="1:3" ht="21.75" customHeight="1" x14ac:dyDescent="0.3">
      <c r="A25" s="14"/>
      <c r="B25" s="9" t="s">
        <v>40</v>
      </c>
      <c r="C25" s="9"/>
    </row>
    <row r="26" spans="1:3" ht="30" customHeight="1" x14ac:dyDescent="0.3">
      <c r="A26" s="14"/>
      <c r="B26" s="15" t="s">
        <v>41</v>
      </c>
      <c r="C26" s="16" t="s">
        <v>42</v>
      </c>
    </row>
    <row r="27" spans="1:3" ht="30" customHeight="1" x14ac:dyDescent="0.3">
      <c r="A27" s="14"/>
      <c r="B27" s="15" t="s">
        <v>43</v>
      </c>
      <c r="C27" s="16" t="s">
        <v>44</v>
      </c>
    </row>
    <row r="28" spans="1:3" ht="24" customHeight="1" x14ac:dyDescent="0.3">
      <c r="B28" s="8" t="s">
        <v>45</v>
      </c>
      <c r="C28" s="8"/>
    </row>
    <row r="29" spans="1:3" ht="67.5" customHeight="1" x14ac:dyDescent="0.3">
      <c r="B29" s="17" t="s">
        <v>46</v>
      </c>
      <c r="C29" s="18" t="s">
        <v>47</v>
      </c>
    </row>
    <row r="30" spans="1:3" ht="97.5" customHeight="1" x14ac:dyDescent="0.3">
      <c r="B30" s="17" t="s">
        <v>48</v>
      </c>
      <c r="C30" s="18" t="s">
        <v>49</v>
      </c>
    </row>
    <row r="31" spans="1:3" ht="52.5" customHeight="1" x14ac:dyDescent="0.3">
      <c r="B31" s="17" t="s">
        <v>50</v>
      </c>
      <c r="C31" s="18" t="s">
        <v>51</v>
      </c>
    </row>
    <row r="32" spans="1:3" ht="127.5" customHeight="1" x14ac:dyDescent="0.3">
      <c r="B32" s="17" t="s">
        <v>52</v>
      </c>
      <c r="C32" s="18" t="s">
        <v>53</v>
      </c>
    </row>
    <row r="33" spans="2:3" ht="82.5" customHeight="1" x14ac:dyDescent="0.3">
      <c r="B33" s="17" t="s">
        <v>54</v>
      </c>
      <c r="C33" s="18" t="s">
        <v>55</v>
      </c>
    </row>
    <row r="35" spans="2:3" ht="24" customHeight="1" x14ac:dyDescent="0.3">
      <c r="B35" s="8" t="s">
        <v>56</v>
      </c>
      <c r="C35" s="8"/>
    </row>
    <row r="36" spans="2:3" ht="52.5" customHeight="1" x14ac:dyDescent="0.3">
      <c r="B36" s="17" t="s">
        <v>57</v>
      </c>
      <c r="C36" s="18" t="s">
        <v>58</v>
      </c>
    </row>
    <row r="37" spans="2:3" ht="67.5" customHeight="1" x14ac:dyDescent="0.3">
      <c r="B37" s="17" t="s">
        <v>59</v>
      </c>
      <c r="C37" s="18" t="s">
        <v>60</v>
      </c>
    </row>
    <row r="38" spans="2:3" ht="82.5" customHeight="1" x14ac:dyDescent="0.3">
      <c r="B38" s="17" t="s">
        <v>61</v>
      </c>
      <c r="C38" s="18" t="s">
        <v>62</v>
      </c>
    </row>
    <row r="39" spans="2:3" ht="97.5" customHeight="1" x14ac:dyDescent="0.3">
      <c r="B39" s="17" t="s">
        <v>63</v>
      </c>
      <c r="C39" s="18" t="s">
        <v>64</v>
      </c>
    </row>
    <row r="40" spans="2:3" ht="82.5" customHeight="1" x14ac:dyDescent="0.3">
      <c r="B40" s="17" t="s">
        <v>65</v>
      </c>
      <c r="C40" s="18" t="s">
        <v>66</v>
      </c>
    </row>
    <row r="42" spans="2:3" ht="25.5" customHeight="1" x14ac:dyDescent="0.3">
      <c r="B42" s="8" t="s">
        <v>67</v>
      </c>
      <c r="C42" s="8"/>
    </row>
    <row r="43" spans="2:3" ht="81" customHeight="1" x14ac:dyDescent="0.3">
      <c r="B43" s="17" t="s">
        <v>68</v>
      </c>
      <c r="C43" s="18" t="s">
        <v>69</v>
      </c>
    </row>
    <row r="44" spans="2:3" ht="51" customHeight="1" x14ac:dyDescent="0.3">
      <c r="B44" s="17" t="s">
        <v>70</v>
      </c>
      <c r="C44" s="18" t="s">
        <v>71</v>
      </c>
    </row>
    <row r="45" spans="2:3" ht="66" customHeight="1" x14ac:dyDescent="0.3">
      <c r="B45" s="17" t="s">
        <v>72</v>
      </c>
      <c r="C45" s="18" t="s">
        <v>73</v>
      </c>
    </row>
    <row r="46" spans="2:3" ht="81" customHeight="1" x14ac:dyDescent="0.3">
      <c r="B46" s="17" t="s">
        <v>74</v>
      </c>
      <c r="C46" s="18" t="s">
        <v>75</v>
      </c>
    </row>
    <row r="47" spans="2:3" ht="81" customHeight="1" x14ac:dyDescent="0.3">
      <c r="B47" s="17" t="s">
        <v>76</v>
      </c>
      <c r="C47" s="18" t="s">
        <v>77</v>
      </c>
    </row>
    <row r="48" spans="2:3" ht="96" customHeight="1" x14ac:dyDescent="0.3">
      <c r="B48" s="17" t="s">
        <v>78</v>
      </c>
      <c r="C48" s="18" t="s">
        <v>79</v>
      </c>
    </row>
    <row r="49" spans="2:3" ht="66" customHeight="1" x14ac:dyDescent="0.3">
      <c r="B49" s="17" t="s">
        <v>80</v>
      </c>
      <c r="C49" s="18" t="s">
        <v>81</v>
      </c>
    </row>
    <row r="50" spans="2:3" ht="36" customHeight="1" x14ac:dyDescent="0.3">
      <c r="B50" s="17" t="s">
        <v>82</v>
      </c>
      <c r="C50" s="18" t="s">
        <v>83</v>
      </c>
    </row>
    <row r="51" spans="2:3" ht="51" customHeight="1" x14ac:dyDescent="0.3">
      <c r="B51" s="17" t="s">
        <v>84</v>
      </c>
      <c r="C51" s="18" t="s">
        <v>85</v>
      </c>
    </row>
    <row r="52" spans="2:3" ht="51" customHeight="1" x14ac:dyDescent="0.3">
      <c r="B52" s="17" t="s">
        <v>86</v>
      </c>
      <c r="C52" s="18" t="s">
        <v>87</v>
      </c>
    </row>
    <row r="53" spans="2:3" ht="66" customHeight="1" x14ac:dyDescent="0.3">
      <c r="B53" s="17" t="s">
        <v>88</v>
      </c>
      <c r="C53" s="18" t="s">
        <v>89</v>
      </c>
    </row>
    <row r="54" spans="2:3" ht="96" customHeight="1" x14ac:dyDescent="0.3">
      <c r="B54" s="17" t="s">
        <v>90</v>
      </c>
      <c r="C54" s="18" t="s">
        <v>91</v>
      </c>
    </row>
    <row r="55" spans="2:3" ht="66" customHeight="1" x14ac:dyDescent="0.3">
      <c r="B55" s="17" t="s">
        <v>92</v>
      </c>
      <c r="C55" s="18" t="s">
        <v>93</v>
      </c>
    </row>
    <row r="56" spans="2:3" ht="51" customHeight="1" x14ac:dyDescent="0.3">
      <c r="B56" s="17" t="s">
        <v>94</v>
      </c>
      <c r="C56" s="18" t="s">
        <v>95</v>
      </c>
    </row>
    <row r="58" spans="2:3" ht="25.5" customHeight="1" x14ac:dyDescent="0.3">
      <c r="B58" s="8" t="s">
        <v>96</v>
      </c>
      <c r="C58" s="8"/>
    </row>
    <row r="59" spans="2:3" ht="81" customHeight="1" x14ac:dyDescent="0.3">
      <c r="B59" s="17" t="s">
        <v>97</v>
      </c>
      <c r="C59" s="18" t="s">
        <v>98</v>
      </c>
    </row>
    <row r="60" spans="2:3" ht="66" customHeight="1" x14ac:dyDescent="0.3">
      <c r="B60" s="17" t="s">
        <v>99</v>
      </c>
      <c r="C60" s="18" t="s">
        <v>100</v>
      </c>
    </row>
    <row r="61" spans="2:3" ht="81" customHeight="1" x14ac:dyDescent="0.3">
      <c r="B61" s="17" t="s">
        <v>101</v>
      </c>
      <c r="C61" s="18" t="s">
        <v>102</v>
      </c>
    </row>
    <row r="62" spans="2:3" ht="51" customHeight="1" x14ac:dyDescent="0.3">
      <c r="B62" s="17" t="s">
        <v>103</v>
      </c>
      <c r="C62" s="18" t="s">
        <v>104</v>
      </c>
    </row>
    <row r="63" spans="2:3" ht="51" customHeight="1" x14ac:dyDescent="0.3">
      <c r="B63" s="17" t="s">
        <v>105</v>
      </c>
      <c r="C63" s="18" t="s">
        <v>106</v>
      </c>
    </row>
    <row r="64" spans="2:3" ht="81" customHeight="1" x14ac:dyDescent="0.3">
      <c r="B64" s="17" t="s">
        <v>107</v>
      </c>
      <c r="C64" s="18" t="s">
        <v>108</v>
      </c>
    </row>
    <row r="65" spans="2:3" ht="81" customHeight="1" x14ac:dyDescent="0.3">
      <c r="B65" s="17" t="s">
        <v>109</v>
      </c>
      <c r="C65" s="18" t="s">
        <v>110</v>
      </c>
    </row>
    <row r="66" spans="2:3" ht="81" customHeight="1" x14ac:dyDescent="0.3">
      <c r="B66" s="17" t="s">
        <v>111</v>
      </c>
      <c r="C66" s="18" t="s">
        <v>112</v>
      </c>
    </row>
  </sheetData>
  <sheetProtection sheet="1" formatCells="0" formatColumns="0" formatRows="0" insertColumns="0" insertRows="0" deleteColumns="0" deleteRows="0" sort="0" autoFilter="0"/>
  <mergeCells count="13">
    <mergeCell ref="B35:C35"/>
    <mergeCell ref="B42:C42"/>
    <mergeCell ref="B58:C58"/>
    <mergeCell ref="B13:C13"/>
    <mergeCell ref="B19:C19"/>
    <mergeCell ref="B22:C22"/>
    <mergeCell ref="B25:C25"/>
    <mergeCell ref="B28:C28"/>
    <mergeCell ref="B1:C1"/>
    <mergeCell ref="B2:C2"/>
    <mergeCell ref="B3:C3"/>
    <mergeCell ref="B4:C4"/>
    <mergeCell ref="B9:C9"/>
  </mergeCells>
  <hyperlinks>
    <hyperlink ref="B2" location="'MUC-LUC'!A1" display="« MỤC LỤC" xr:uid="{00000000-0004-0000-0000-000000000000}"/>
  </hyperlinks>
  <pageMargins left="0.75" right="0.75" top="1" bottom="1" header="0.511811023622047" footer="0.511811023622047"/>
  <pageSetup fitToHeight="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0"/>
  <sheetViews>
    <sheetView showGridLines="0" zoomScaleNormal="100" workbookViewId="0">
      <pane xSplit="2" ySplit="3" topLeftCell="C4" activePane="bottomRight" state="frozen"/>
      <selection pane="topRight" activeCell="C1" sqref="C1"/>
      <selection pane="bottomLeft" activeCell="A4" sqref="A4"/>
      <selection pane="bottomRight" sqref="A1:I1"/>
    </sheetView>
  </sheetViews>
  <sheetFormatPr defaultColWidth="8.6640625" defaultRowHeight="14.4" x14ac:dyDescent="0.3"/>
  <cols>
    <col min="1" max="1" width="12" style="13" customWidth="1"/>
    <col min="2" max="2" width="20" style="13" customWidth="1"/>
    <col min="3" max="3" width="16" style="13" customWidth="1"/>
    <col min="4" max="4" width="13" style="13" customWidth="1"/>
    <col min="5" max="5" width="15" style="13" customWidth="1"/>
    <col min="6" max="6" width="13" style="13" customWidth="1"/>
    <col min="7" max="7" width="16" style="13" customWidth="1"/>
    <col min="8" max="8" width="34" style="13" customWidth="1"/>
    <col min="9" max="9" width="26" style="13" customWidth="1"/>
    <col min="10" max="10" width="12" style="13" customWidth="1"/>
    <col min="11" max="11" width="16" style="13" customWidth="1"/>
  </cols>
  <sheetData>
    <row r="1" spans="1:11" ht="27.75" customHeight="1" x14ac:dyDescent="0.3">
      <c r="A1" s="111" t="s">
        <v>367</v>
      </c>
      <c r="B1" s="111"/>
      <c r="C1" s="111"/>
      <c r="D1" s="111"/>
      <c r="E1" s="111"/>
      <c r="F1" s="111"/>
      <c r="G1" s="111"/>
      <c r="H1" s="111"/>
      <c r="I1" s="111"/>
      <c r="J1" s="11" t="s">
        <v>1</v>
      </c>
      <c r="K1" s="11"/>
    </row>
    <row r="2" spans="1:11" ht="30" customHeight="1" x14ac:dyDescent="0.3">
      <c r="A2" s="95" t="s">
        <v>368</v>
      </c>
      <c r="B2" s="95"/>
      <c r="C2" s="95"/>
      <c r="D2" s="95"/>
      <c r="E2" s="95"/>
      <c r="F2" s="95"/>
      <c r="G2" s="95"/>
      <c r="H2" s="95"/>
      <c r="I2" s="95"/>
      <c r="J2" s="95"/>
      <c r="K2" s="95"/>
    </row>
    <row r="3" spans="1:11" ht="27.75" customHeight="1" x14ac:dyDescent="0.3">
      <c r="A3" s="25" t="s">
        <v>369</v>
      </c>
      <c r="B3" s="25" t="s">
        <v>289</v>
      </c>
      <c r="C3" s="25" t="s">
        <v>264</v>
      </c>
      <c r="D3" s="25" t="s">
        <v>370</v>
      </c>
      <c r="E3" s="25" t="s">
        <v>371</v>
      </c>
      <c r="F3" s="25" t="s">
        <v>372</v>
      </c>
      <c r="G3" s="25" t="s">
        <v>373</v>
      </c>
      <c r="H3" s="25" t="s">
        <v>374</v>
      </c>
      <c r="I3" s="25" t="s">
        <v>375</v>
      </c>
      <c r="J3" s="25" t="s">
        <v>376</v>
      </c>
      <c r="K3" s="25" t="s">
        <v>179</v>
      </c>
    </row>
    <row r="4" spans="1:11" ht="41.25" customHeight="1" x14ac:dyDescent="0.3">
      <c r="A4" s="49">
        <v>46175</v>
      </c>
      <c r="B4" s="30" t="s">
        <v>377</v>
      </c>
      <c r="C4" s="34" t="s">
        <v>377</v>
      </c>
      <c r="D4" s="34" t="s">
        <v>378</v>
      </c>
      <c r="E4" s="35" t="s">
        <v>429</v>
      </c>
      <c r="F4" s="29" t="s">
        <v>157</v>
      </c>
      <c r="G4" s="29" t="s">
        <v>379</v>
      </c>
      <c r="H4" s="34" t="s">
        <v>255</v>
      </c>
      <c r="I4" s="30" t="s">
        <v>430</v>
      </c>
      <c r="J4" s="49">
        <v>46205</v>
      </c>
      <c r="K4" s="30" t="s">
        <v>380</v>
      </c>
    </row>
    <row r="5" spans="1:11" ht="30" customHeight="1" x14ac:dyDescent="0.3">
      <c r="A5" s="49"/>
      <c r="B5" s="30"/>
      <c r="C5" s="30"/>
      <c r="D5" s="30"/>
      <c r="E5" s="29"/>
      <c r="F5" s="29"/>
      <c r="G5" s="29"/>
      <c r="H5" s="30"/>
      <c r="I5" s="30"/>
      <c r="J5" s="49"/>
      <c r="K5" s="30"/>
    </row>
    <row r="6" spans="1:11" ht="30" customHeight="1" x14ac:dyDescent="0.3">
      <c r="A6" s="49"/>
      <c r="B6" s="30"/>
      <c r="C6" s="30"/>
      <c r="D6" s="30"/>
      <c r="E6" s="29"/>
      <c r="F6" s="29"/>
      <c r="G6" s="29"/>
      <c r="H6" s="30"/>
      <c r="I6" s="30"/>
      <c r="J6" s="49"/>
      <c r="K6" s="30"/>
    </row>
    <row r="7" spans="1:11" ht="30" customHeight="1" x14ac:dyDescent="0.3">
      <c r="A7" s="49"/>
      <c r="B7" s="30"/>
      <c r="C7" s="30"/>
      <c r="D7" s="30"/>
      <c r="E7" s="29"/>
      <c r="F7" s="29"/>
      <c r="G7" s="29"/>
      <c r="H7" s="30"/>
      <c r="I7" s="30"/>
      <c r="J7" s="49"/>
      <c r="K7" s="30"/>
    </row>
    <row r="8" spans="1:11" ht="30" customHeight="1" x14ac:dyDescent="0.3">
      <c r="A8" s="49"/>
      <c r="B8" s="30"/>
      <c r="C8" s="30"/>
      <c r="D8" s="30"/>
      <c r="E8" s="29"/>
      <c r="F8" s="29"/>
      <c r="G8" s="29"/>
      <c r="H8" s="30"/>
      <c r="I8" s="30"/>
      <c r="J8" s="49"/>
      <c r="K8" s="30"/>
    </row>
    <row r="9" spans="1:11" ht="30" customHeight="1" x14ac:dyDescent="0.3">
      <c r="A9" s="49"/>
      <c r="B9" s="30"/>
      <c r="C9" s="30"/>
      <c r="D9" s="30"/>
      <c r="E9" s="29"/>
      <c r="F9" s="29"/>
      <c r="G9" s="29"/>
      <c r="H9" s="30"/>
      <c r="I9" s="30"/>
      <c r="J9" s="49"/>
      <c r="K9" s="30"/>
    </row>
    <row r="10" spans="1:11" ht="30" customHeight="1" x14ac:dyDescent="0.3">
      <c r="A10" s="49"/>
      <c r="B10" s="30"/>
      <c r="C10" s="30"/>
      <c r="D10" s="30"/>
      <c r="E10" s="29"/>
      <c r="F10" s="29"/>
      <c r="G10" s="29"/>
      <c r="H10" s="30"/>
      <c r="I10" s="30"/>
      <c r="J10" s="49"/>
      <c r="K10" s="30"/>
    </row>
    <row r="11" spans="1:11" ht="30" customHeight="1" x14ac:dyDescent="0.3">
      <c r="A11" s="49"/>
      <c r="B11" s="30"/>
      <c r="C11" s="30"/>
      <c r="D11" s="30"/>
      <c r="E11" s="29"/>
      <c r="F11" s="29"/>
      <c r="G11" s="29"/>
      <c r="H11" s="30"/>
      <c r="I11" s="30"/>
      <c r="J11" s="49"/>
      <c r="K11" s="30"/>
    </row>
    <row r="12" spans="1:11" ht="30" customHeight="1" x14ac:dyDescent="0.3">
      <c r="A12" s="49"/>
      <c r="B12" s="30"/>
      <c r="C12" s="30"/>
      <c r="D12" s="30"/>
      <c r="E12" s="29"/>
      <c r="F12" s="29"/>
      <c r="G12" s="29"/>
      <c r="H12" s="30"/>
      <c r="I12" s="30"/>
      <c r="J12" s="49"/>
      <c r="K12" s="30"/>
    </row>
    <row r="13" spans="1:11" ht="30" customHeight="1" x14ac:dyDescent="0.3">
      <c r="A13" s="49"/>
      <c r="B13" s="30"/>
      <c r="C13" s="30"/>
      <c r="D13" s="30"/>
      <c r="E13" s="29"/>
      <c r="F13" s="29"/>
      <c r="G13" s="29"/>
      <c r="H13" s="30"/>
      <c r="I13" s="30"/>
      <c r="J13" s="49"/>
      <c r="K13" s="30"/>
    </row>
    <row r="14" spans="1:11" ht="30" customHeight="1" x14ac:dyDescent="0.3">
      <c r="A14" s="49"/>
      <c r="B14" s="30"/>
      <c r="C14" s="30"/>
      <c r="D14" s="30"/>
      <c r="E14" s="29"/>
      <c r="F14" s="29"/>
      <c r="G14" s="29"/>
      <c r="H14" s="30"/>
      <c r="I14" s="30"/>
      <c r="J14" s="49"/>
      <c r="K14" s="30"/>
    </row>
    <row r="15" spans="1:11" ht="30" customHeight="1" x14ac:dyDescent="0.3">
      <c r="A15" s="49"/>
      <c r="B15" s="30"/>
      <c r="C15" s="30"/>
      <c r="D15" s="30"/>
      <c r="E15" s="29"/>
      <c r="F15" s="29"/>
      <c r="G15" s="29"/>
      <c r="H15" s="30"/>
      <c r="I15" s="30"/>
      <c r="J15" s="49"/>
      <c r="K15" s="30"/>
    </row>
    <row r="16" spans="1:11" ht="30" customHeight="1" x14ac:dyDescent="0.3">
      <c r="A16" s="49"/>
      <c r="B16" s="30"/>
      <c r="C16" s="30"/>
      <c r="D16" s="30"/>
      <c r="E16" s="29"/>
      <c r="F16" s="29"/>
      <c r="G16" s="29"/>
      <c r="H16" s="30"/>
      <c r="I16" s="30"/>
      <c r="J16" s="49"/>
      <c r="K16" s="30"/>
    </row>
    <row r="17" spans="1:11" ht="30" customHeight="1" x14ac:dyDescent="0.3">
      <c r="A17" s="49"/>
      <c r="B17" s="30"/>
      <c r="C17" s="30"/>
      <c r="D17" s="30"/>
      <c r="E17" s="29"/>
      <c r="F17" s="29"/>
      <c r="G17" s="29"/>
      <c r="H17" s="30"/>
      <c r="I17" s="30"/>
      <c r="J17" s="49"/>
      <c r="K17" s="30"/>
    </row>
    <row r="18" spans="1:11" ht="30" customHeight="1" x14ac:dyDescent="0.3">
      <c r="A18" s="49"/>
      <c r="B18" s="30"/>
      <c r="C18" s="30"/>
      <c r="D18" s="30"/>
      <c r="E18" s="29"/>
      <c r="F18" s="29"/>
      <c r="G18" s="29"/>
      <c r="H18" s="30"/>
      <c r="I18" s="30"/>
      <c r="J18" s="49"/>
      <c r="K18" s="30"/>
    </row>
    <row r="19" spans="1:11" ht="30" customHeight="1" x14ac:dyDescent="0.3">
      <c r="A19" s="49"/>
      <c r="B19" s="30"/>
      <c r="C19" s="30"/>
      <c r="D19" s="30"/>
      <c r="E19" s="29"/>
      <c r="F19" s="29"/>
      <c r="G19" s="29"/>
      <c r="H19" s="30"/>
      <c r="I19" s="30"/>
      <c r="J19" s="49"/>
      <c r="K19" s="30"/>
    </row>
    <row r="20" spans="1:11" ht="30" customHeight="1" x14ac:dyDescent="0.3">
      <c r="A20" s="49"/>
      <c r="B20" s="30"/>
      <c r="C20" s="30"/>
      <c r="D20" s="30"/>
      <c r="E20" s="29"/>
      <c r="F20" s="29"/>
      <c r="G20" s="29"/>
      <c r="H20" s="30"/>
      <c r="I20" s="30"/>
      <c r="J20" s="49"/>
      <c r="K20" s="30"/>
    </row>
    <row r="21" spans="1:11" ht="30" customHeight="1" x14ac:dyDescent="0.3">
      <c r="A21" s="49"/>
      <c r="B21" s="30"/>
      <c r="C21" s="30"/>
      <c r="D21" s="30"/>
      <c r="E21" s="29"/>
      <c r="F21" s="29"/>
      <c r="G21" s="29"/>
      <c r="H21" s="30"/>
      <c r="I21" s="30"/>
      <c r="J21" s="49"/>
      <c r="K21" s="30"/>
    </row>
    <row r="22" spans="1:11" ht="30" customHeight="1" x14ac:dyDescent="0.3">
      <c r="A22" s="49"/>
      <c r="B22" s="30"/>
      <c r="C22" s="30"/>
      <c r="D22" s="30"/>
      <c r="E22" s="29"/>
      <c r="F22" s="29"/>
      <c r="G22" s="29"/>
      <c r="H22" s="30"/>
      <c r="I22" s="30"/>
      <c r="J22" s="49"/>
      <c r="K22" s="30"/>
    </row>
    <row r="23" spans="1:11" ht="30" customHeight="1" x14ac:dyDescent="0.3">
      <c r="A23" s="49"/>
      <c r="B23" s="30"/>
      <c r="C23" s="30"/>
      <c r="D23" s="30"/>
      <c r="E23" s="29"/>
      <c r="F23" s="29"/>
      <c r="G23" s="29"/>
      <c r="H23" s="30"/>
      <c r="I23" s="30"/>
      <c r="J23" s="49"/>
      <c r="K23" s="30"/>
    </row>
    <row r="24" spans="1:11" ht="30" customHeight="1" x14ac:dyDescent="0.3">
      <c r="A24" s="49"/>
      <c r="B24" s="30"/>
      <c r="C24" s="30"/>
      <c r="D24" s="30"/>
      <c r="E24" s="29"/>
      <c r="F24" s="29"/>
      <c r="G24" s="29"/>
      <c r="H24" s="30"/>
      <c r="I24" s="30"/>
      <c r="J24" s="49"/>
      <c r="K24" s="30"/>
    </row>
    <row r="25" spans="1:11" ht="30" customHeight="1" x14ac:dyDescent="0.3">
      <c r="A25" s="49"/>
      <c r="B25" s="30"/>
      <c r="C25" s="30"/>
      <c r="D25" s="30"/>
      <c r="E25" s="29"/>
      <c r="F25" s="29"/>
      <c r="G25" s="29"/>
      <c r="H25" s="30"/>
      <c r="I25" s="30"/>
      <c r="J25" s="49"/>
      <c r="K25" s="30"/>
    </row>
    <row r="26" spans="1:11" ht="30" customHeight="1" x14ac:dyDescent="0.3">
      <c r="A26" s="49"/>
      <c r="B26" s="30"/>
      <c r="C26" s="30"/>
      <c r="D26" s="30"/>
      <c r="E26" s="29"/>
      <c r="F26" s="29"/>
      <c r="G26" s="29"/>
      <c r="H26" s="30"/>
      <c r="I26" s="30"/>
      <c r="J26" s="49"/>
      <c r="K26" s="30"/>
    </row>
    <row r="27" spans="1:11" ht="30" customHeight="1" x14ac:dyDescent="0.3">
      <c r="A27" s="49"/>
      <c r="B27" s="30"/>
      <c r="C27" s="30"/>
      <c r="D27" s="30"/>
      <c r="E27" s="29"/>
      <c r="F27" s="29"/>
      <c r="G27" s="29"/>
      <c r="H27" s="30"/>
      <c r="I27" s="30"/>
      <c r="J27" s="49"/>
      <c r="K27" s="30"/>
    </row>
    <row r="28" spans="1:11" ht="30" customHeight="1" x14ac:dyDescent="0.3">
      <c r="A28" s="49"/>
      <c r="B28" s="30"/>
      <c r="C28" s="30"/>
      <c r="D28" s="30"/>
      <c r="E28" s="29"/>
      <c r="F28" s="29"/>
      <c r="G28" s="29"/>
      <c r="H28" s="30"/>
      <c r="I28" s="30"/>
      <c r="J28" s="49"/>
      <c r="K28" s="30"/>
    </row>
    <row r="29" spans="1:11" ht="30" customHeight="1" x14ac:dyDescent="0.3">
      <c r="A29" s="49"/>
      <c r="B29" s="30"/>
      <c r="C29" s="30"/>
      <c r="D29" s="30"/>
      <c r="E29" s="29"/>
      <c r="F29" s="29"/>
      <c r="G29" s="29"/>
      <c r="H29" s="30"/>
      <c r="I29" s="30"/>
      <c r="J29" s="49"/>
      <c r="K29" s="30"/>
    </row>
    <row r="30" spans="1:11" ht="30" customHeight="1" x14ac:dyDescent="0.3">
      <c r="A30" s="49"/>
      <c r="B30" s="30"/>
      <c r="C30" s="30"/>
      <c r="D30" s="30"/>
      <c r="E30" s="29"/>
      <c r="F30" s="29"/>
      <c r="G30" s="29"/>
      <c r="H30" s="30"/>
      <c r="I30" s="30"/>
      <c r="J30" s="49"/>
      <c r="K30" s="30"/>
    </row>
    <row r="31" spans="1:11" ht="30" customHeight="1" x14ac:dyDescent="0.3">
      <c r="A31" s="49"/>
      <c r="B31" s="30"/>
      <c r="C31" s="30"/>
      <c r="D31" s="30"/>
      <c r="E31" s="29"/>
      <c r="F31" s="29"/>
      <c r="G31" s="29"/>
      <c r="H31" s="30"/>
      <c r="I31" s="30"/>
      <c r="J31" s="49"/>
      <c r="K31" s="30"/>
    </row>
    <row r="32" spans="1:11" ht="30" customHeight="1" x14ac:dyDescent="0.3">
      <c r="A32" s="49"/>
      <c r="B32" s="30"/>
      <c r="C32" s="30"/>
      <c r="D32" s="30"/>
      <c r="E32" s="29"/>
      <c r="F32" s="29"/>
      <c r="G32" s="29"/>
      <c r="H32" s="30"/>
      <c r="I32" s="30"/>
      <c r="J32" s="49"/>
      <c r="K32" s="30"/>
    </row>
    <row r="33" spans="1:11" ht="30" customHeight="1" x14ac:dyDescent="0.3">
      <c r="A33" s="49"/>
      <c r="B33" s="30"/>
      <c r="C33" s="30"/>
      <c r="D33" s="30"/>
      <c r="E33" s="29"/>
      <c r="F33" s="29"/>
      <c r="G33" s="29"/>
      <c r="H33" s="30"/>
      <c r="I33" s="30"/>
      <c r="J33" s="49"/>
      <c r="K33" s="30"/>
    </row>
    <row r="34" spans="1:11" ht="30" customHeight="1" x14ac:dyDescent="0.3">
      <c r="A34" s="49"/>
      <c r="B34" s="30"/>
      <c r="C34" s="30"/>
      <c r="D34" s="30"/>
      <c r="E34" s="29"/>
      <c r="F34" s="29"/>
      <c r="G34" s="29"/>
      <c r="H34" s="30"/>
      <c r="I34" s="30"/>
      <c r="J34" s="49"/>
      <c r="K34" s="30"/>
    </row>
    <row r="35" spans="1:11" ht="30" customHeight="1" x14ac:dyDescent="0.3">
      <c r="A35" s="49"/>
      <c r="B35" s="30"/>
      <c r="C35" s="30"/>
      <c r="D35" s="30"/>
      <c r="E35" s="29"/>
      <c r="F35" s="29"/>
      <c r="G35" s="29"/>
      <c r="H35" s="30"/>
      <c r="I35" s="30"/>
      <c r="J35" s="49"/>
      <c r="K35" s="30"/>
    </row>
    <row r="36" spans="1:11" ht="30" customHeight="1" x14ac:dyDescent="0.3">
      <c r="A36" s="49"/>
      <c r="B36" s="30"/>
      <c r="C36" s="30"/>
      <c r="D36" s="30"/>
      <c r="E36" s="29"/>
      <c r="F36" s="29"/>
      <c r="G36" s="29"/>
      <c r="H36" s="30"/>
      <c r="I36" s="30"/>
      <c r="J36" s="49"/>
      <c r="K36" s="30"/>
    </row>
    <row r="37" spans="1:11" ht="30" customHeight="1" x14ac:dyDescent="0.3">
      <c r="A37" s="49"/>
      <c r="B37" s="30"/>
      <c r="C37" s="30"/>
      <c r="D37" s="30"/>
      <c r="E37" s="29"/>
      <c r="F37" s="29"/>
      <c r="G37" s="29"/>
      <c r="H37" s="30"/>
      <c r="I37" s="30"/>
      <c r="J37" s="49"/>
      <c r="K37" s="30"/>
    </row>
    <row r="38" spans="1:11" ht="30" customHeight="1" x14ac:dyDescent="0.3">
      <c r="A38" s="49"/>
      <c r="B38" s="30"/>
      <c r="C38" s="30"/>
      <c r="D38" s="30"/>
      <c r="E38" s="29"/>
      <c r="F38" s="29"/>
      <c r="G38" s="29"/>
      <c r="H38" s="30"/>
      <c r="I38" s="30"/>
      <c r="J38" s="49"/>
      <c r="K38" s="30"/>
    </row>
    <row r="39" spans="1:11" ht="30" customHeight="1" x14ac:dyDescent="0.3">
      <c r="A39" s="49"/>
      <c r="B39" s="30"/>
      <c r="C39" s="30"/>
      <c r="D39" s="30"/>
      <c r="E39" s="29"/>
      <c r="F39" s="29"/>
      <c r="G39" s="29"/>
      <c r="H39" s="30"/>
      <c r="I39" s="30"/>
      <c r="J39" s="49"/>
      <c r="K39" s="30"/>
    </row>
    <row r="40" spans="1:11" ht="30" customHeight="1" x14ac:dyDescent="0.3">
      <c r="A40" s="49"/>
      <c r="B40" s="30"/>
      <c r="C40" s="30"/>
      <c r="D40" s="30"/>
      <c r="E40" s="29"/>
      <c r="F40" s="29"/>
      <c r="G40" s="29"/>
      <c r="H40" s="30"/>
      <c r="I40" s="30"/>
      <c r="J40" s="49"/>
      <c r="K40" s="30"/>
    </row>
  </sheetData>
  <sheetProtection sheet="1" formatCells="0" formatColumns="0" formatRows="0" insertColumns="0" insertRows="0" deleteColumns="0" deleteRows="0" sort="0" autoFilter="0"/>
  <autoFilter ref="A3:K40" xr:uid="{00000000-0009-0000-0000-000009000000}"/>
  <mergeCells count="3">
    <mergeCell ref="A1:I1"/>
    <mergeCell ref="J1:K1"/>
    <mergeCell ref="A2:K2"/>
  </mergeCells>
  <conditionalFormatting sqref="G4:G40">
    <cfRule type="expression" dxfId="5" priority="2">
      <formula>OR($G4="Đã chốt đơn",$G4="Hoàn thành")</formula>
    </cfRule>
    <cfRule type="expression" dxfId="4" priority="3">
      <formula>$G4="Tạm dừng"</formula>
    </cfRule>
  </conditionalFormatting>
  <conditionalFormatting sqref="J4:J40">
    <cfRule type="expression" dxfId="3" priority="4">
      <formula>AND($J4&lt;&gt;"",$J4&lt;TODAY())</formula>
    </cfRule>
  </conditionalFormatting>
  <dataValidations count="3">
    <dataValidation type="list" allowBlank="1" sqref="F4:F40" xr:uid="{00000000-0002-0000-0900-000000000000}">
      <formula1>"Gọi điện,Zalo,Messenger,Email,Gặp trực tiếp,Khác"</formula1>
      <formula2>0</formula2>
    </dataValidation>
    <dataValidation type="list" allowBlank="1" sqref="G4:G40" xr:uid="{00000000-0002-0000-0900-000001000000}">
      <formula1>"Mới liên hệ,Đang báo giá,Đang đàm phán,Chờ phản hồi,Đã chốt đơn,Hoàn thành,Tạm dừng"</formula1>
      <formula2>0</formula2>
    </dataValidation>
    <dataValidation type="list" allowBlank="1" sqref="B4:B40" xr:uid="{00000000-0002-0000-0900-000002000000}">
      <formula1>DSKHACH</formula1>
      <formula2>0</formula2>
    </dataValidation>
  </dataValidations>
  <hyperlinks>
    <hyperlink ref="J1" location="'MUC-LUC'!A1" display="« MỤC LỤC" xr:uid="{00000000-0004-0000-0900-000000000000}"/>
  </hyperlinks>
  <pageMargins left="0.75" right="0.75" top="1" bottom="1" header="0.511811023622047" footer="0.511811023622047"/>
  <pageSetup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0"/>
  <sheetViews>
    <sheetView showGridLines="0" zoomScaleNormal="100" workbookViewId="0">
      <pane ySplit="5" topLeftCell="A6" activePane="bottomLeft" state="frozen"/>
      <selection pane="bottomLeft"/>
    </sheetView>
  </sheetViews>
  <sheetFormatPr defaultColWidth="8.6640625" defaultRowHeight="14.4" x14ac:dyDescent="0.3"/>
  <cols>
    <col min="1" max="1" width="10" style="13" customWidth="1"/>
    <col min="2" max="2" width="7" style="13" customWidth="1"/>
    <col min="3" max="3" width="14" style="13" customWidth="1"/>
    <col min="4" max="4" width="12" style="13" customWidth="1"/>
    <col min="5" max="5" width="13" style="13" customWidth="1"/>
    <col min="6" max="6" width="14" style="13" customWidth="1"/>
    <col min="7" max="8" width="13" style="13" customWidth="1"/>
    <col min="9" max="9" width="16" style="13" customWidth="1"/>
    <col min="10" max="10" width="11" style="13" customWidth="1"/>
    <col min="12" max="12" width="13" style="13" customWidth="1"/>
  </cols>
  <sheetData>
    <row r="1" spans="1:13" ht="27.75" customHeight="1" x14ac:dyDescent="0.3">
      <c r="A1" s="12" t="s">
        <v>381</v>
      </c>
      <c r="B1" s="12"/>
      <c r="C1" s="12"/>
      <c r="D1" s="12"/>
      <c r="E1" s="12"/>
      <c r="F1" s="12"/>
      <c r="G1" s="12"/>
      <c r="H1" s="12"/>
      <c r="I1" s="12"/>
      <c r="J1" s="12"/>
      <c r="K1" s="14"/>
      <c r="L1" s="11" t="s">
        <v>1</v>
      </c>
      <c r="M1" s="11"/>
    </row>
    <row r="2" spans="1:13" ht="14.25" customHeight="1" x14ac:dyDescent="0.3">
      <c r="A2" s="14"/>
      <c r="B2" s="14"/>
      <c r="C2" s="14"/>
      <c r="D2" s="14"/>
      <c r="E2" s="14"/>
      <c r="F2" s="14"/>
      <c r="G2" s="14"/>
      <c r="H2" s="14"/>
      <c r="I2" s="14"/>
      <c r="J2" s="14"/>
      <c r="K2" s="14"/>
      <c r="L2" s="14"/>
      <c r="M2" s="14"/>
    </row>
    <row r="3" spans="1:13" ht="15" customHeight="1" x14ac:dyDescent="0.3">
      <c r="A3" s="64" t="s">
        <v>137</v>
      </c>
      <c r="B3" s="65">
        <v>2026</v>
      </c>
      <c r="C3" s="95" t="s">
        <v>382</v>
      </c>
      <c r="D3" s="95"/>
      <c r="E3" s="95"/>
      <c r="F3" s="95"/>
      <c r="G3" s="95"/>
      <c r="H3" s="95"/>
      <c r="I3" s="95"/>
      <c r="J3" s="95"/>
      <c r="K3" s="14"/>
      <c r="L3" s="14"/>
      <c r="M3" s="14"/>
    </row>
    <row r="4" spans="1:13" ht="14.25" customHeight="1" x14ac:dyDescent="0.3">
      <c r="A4" s="14"/>
      <c r="B4" s="14"/>
      <c r="C4" s="14"/>
      <c r="D4" s="14"/>
      <c r="E4" s="14"/>
      <c r="F4" s="14"/>
      <c r="G4" s="14"/>
      <c r="H4" s="14"/>
      <c r="I4" s="14"/>
      <c r="J4" s="14"/>
      <c r="K4" s="14"/>
      <c r="L4" s="14"/>
      <c r="M4" s="14"/>
    </row>
    <row r="5" spans="1:13" ht="36" customHeight="1" x14ac:dyDescent="0.3">
      <c r="A5" s="25" t="s">
        <v>342</v>
      </c>
      <c r="B5" s="25" t="s">
        <v>175</v>
      </c>
      <c r="C5" s="25" t="s">
        <v>140</v>
      </c>
      <c r="D5" s="25" t="s">
        <v>383</v>
      </c>
      <c r="E5" s="25" t="s">
        <v>384</v>
      </c>
      <c r="F5" s="25" t="s">
        <v>385</v>
      </c>
      <c r="G5" s="25" t="s">
        <v>386</v>
      </c>
      <c r="H5" s="25" t="s">
        <v>387</v>
      </c>
      <c r="I5" s="25" t="s">
        <v>388</v>
      </c>
      <c r="J5" s="25" t="s">
        <v>389</v>
      </c>
      <c r="K5" s="14"/>
      <c r="L5" s="14"/>
      <c r="M5" s="14"/>
    </row>
    <row r="6" spans="1:13" ht="15" customHeight="1" x14ac:dyDescent="0.3">
      <c r="A6" s="66" t="s">
        <v>390</v>
      </c>
      <c r="B6" s="67">
        <f>SUMPRODUCT((MONTH('DON-HANG'!$B$5:$B$1000)=1)*(YEAR('DON-HANG'!$B$5:$B$1000)=$B$3)*('DON-HANG'!$G$5:$G$1000&lt;&gt;""))</f>
        <v>0</v>
      </c>
      <c r="C6" s="68">
        <f>SUMPRODUCT((MONTH('DON-HANG'!$B$5:$B$1000)=1)*(YEAR('DON-HANG'!$B$5:$B$1000)=$B$3)*'DON-HANG'!$G$5:$G$1000)</f>
        <v>0</v>
      </c>
      <c r="D6" s="68">
        <f>SUMPRODUCT((MONTH('DON-HANG'!$B$5:$B$1000)=1)*(YEAR('DON-HANG'!$B$5:$B$1000)=$B$3)*'DON-HANG'!$H$5:$H$1000)</f>
        <v>0</v>
      </c>
      <c r="E6" s="68">
        <f>SUMPRODUCT((MONTH('DON-HANG'!$B$5:$B$1000)=1)*(YEAR('DON-HANG'!$B$5:$B$1000)=$B$3)*('DON-HANG'!$I$5:$I$1000+'DON-HANG'!$J$5:$J$1000+'DON-HANG'!$K$5:$K$1000))</f>
        <v>0</v>
      </c>
      <c r="F6" s="68">
        <f t="shared" ref="F6:F17" si="0">C6-D6-E6</f>
        <v>0</v>
      </c>
      <c r="G6" s="68">
        <f>SUMIFS('CHI-PHI'!$D$45:$D$68,'CHI-PHI'!$B$45:$B$68,$B$3,'CHI-PHI'!$C$45:$C$68,1)</f>
        <v>0</v>
      </c>
      <c r="H6" s="68">
        <f>SUMPRODUCT((MONTH('CHI-PHI'!$B$23:$B$40)=1)*(YEAR('CHI-PHI'!$B$23:$B$40)=$B$3)*'CHI-PHI'!$E$23:$E$40)</f>
        <v>0</v>
      </c>
      <c r="I6" s="69">
        <f t="shared" ref="I6:I17" si="1">F6-G6-H6</f>
        <v>0</v>
      </c>
      <c r="J6" s="70" t="str">
        <f t="shared" ref="J6:J18" si="2">IFERROR(I6/C6,"")</f>
        <v/>
      </c>
      <c r="K6" s="14"/>
      <c r="L6" s="14"/>
      <c r="M6" s="14"/>
    </row>
    <row r="7" spans="1:13" ht="15" customHeight="1" x14ac:dyDescent="0.3">
      <c r="A7" s="71" t="s">
        <v>391</v>
      </c>
      <c r="B7" s="72">
        <f>SUMPRODUCT((MONTH('DON-HANG'!$B$5:$B$1000)=2)*(YEAR('DON-HANG'!$B$5:$B$1000)=$B$3)*('DON-HANG'!$G$5:$G$1000&lt;&gt;""))</f>
        <v>0</v>
      </c>
      <c r="C7" s="73">
        <f>SUMPRODUCT((MONTH('DON-HANG'!$B$5:$B$1000)=2)*(YEAR('DON-HANG'!$B$5:$B$1000)=$B$3)*'DON-HANG'!$G$5:$G$1000)</f>
        <v>0</v>
      </c>
      <c r="D7" s="73">
        <f>SUMPRODUCT((MONTH('DON-HANG'!$B$5:$B$1000)=2)*(YEAR('DON-HANG'!$B$5:$B$1000)=$B$3)*'DON-HANG'!$H$5:$H$1000)</f>
        <v>0</v>
      </c>
      <c r="E7" s="73">
        <f>SUMPRODUCT((MONTH('DON-HANG'!$B$5:$B$1000)=2)*(YEAR('DON-HANG'!$B$5:$B$1000)=$B$3)*('DON-HANG'!$I$5:$I$1000+'DON-HANG'!$J$5:$J$1000+'DON-HANG'!$K$5:$K$1000))</f>
        <v>0</v>
      </c>
      <c r="F7" s="73">
        <f t="shared" si="0"/>
        <v>0</v>
      </c>
      <c r="G7" s="73">
        <f>SUMIFS('CHI-PHI'!$D$45:$D$68,'CHI-PHI'!$B$45:$B$68,$B$3,'CHI-PHI'!$C$45:$C$68,2)</f>
        <v>0</v>
      </c>
      <c r="H7" s="73">
        <f>SUMPRODUCT((MONTH('CHI-PHI'!$B$23:$B$40)=2)*(YEAR('CHI-PHI'!$B$23:$B$40)=$B$3)*'CHI-PHI'!$E$23:$E$40)</f>
        <v>0</v>
      </c>
      <c r="I7" s="74">
        <f t="shared" si="1"/>
        <v>0</v>
      </c>
      <c r="J7" s="75" t="str">
        <f t="shared" si="2"/>
        <v/>
      </c>
      <c r="K7" s="14"/>
      <c r="L7" s="14"/>
      <c r="M7" s="14"/>
    </row>
    <row r="8" spans="1:13" ht="15" customHeight="1" x14ac:dyDescent="0.3">
      <c r="A8" s="66" t="s">
        <v>392</v>
      </c>
      <c r="B8" s="67">
        <f>SUMPRODUCT((MONTH('DON-HANG'!$B$5:$B$1000)=3)*(YEAR('DON-HANG'!$B$5:$B$1000)=$B$3)*('DON-HANG'!$G$5:$G$1000&lt;&gt;""))</f>
        <v>0</v>
      </c>
      <c r="C8" s="68">
        <f>SUMPRODUCT((MONTH('DON-HANG'!$B$5:$B$1000)=3)*(YEAR('DON-HANG'!$B$5:$B$1000)=$B$3)*'DON-HANG'!$G$5:$G$1000)</f>
        <v>0</v>
      </c>
      <c r="D8" s="68">
        <f>SUMPRODUCT((MONTH('DON-HANG'!$B$5:$B$1000)=3)*(YEAR('DON-HANG'!$B$5:$B$1000)=$B$3)*'DON-HANG'!$H$5:$H$1000)</f>
        <v>0</v>
      </c>
      <c r="E8" s="68">
        <f>SUMPRODUCT((MONTH('DON-HANG'!$B$5:$B$1000)=3)*(YEAR('DON-HANG'!$B$5:$B$1000)=$B$3)*('DON-HANG'!$I$5:$I$1000+'DON-HANG'!$J$5:$J$1000+'DON-HANG'!$K$5:$K$1000))</f>
        <v>0</v>
      </c>
      <c r="F8" s="68">
        <f t="shared" si="0"/>
        <v>0</v>
      </c>
      <c r="G8" s="68">
        <f>SUMIFS('CHI-PHI'!$D$45:$D$68,'CHI-PHI'!$B$45:$B$68,$B$3,'CHI-PHI'!$C$45:$C$68,3)</f>
        <v>0</v>
      </c>
      <c r="H8" s="68">
        <f>SUMPRODUCT((MONTH('CHI-PHI'!$B$23:$B$40)=3)*(YEAR('CHI-PHI'!$B$23:$B$40)=$B$3)*'CHI-PHI'!$E$23:$E$40)</f>
        <v>0</v>
      </c>
      <c r="I8" s="69">
        <f t="shared" si="1"/>
        <v>0</v>
      </c>
      <c r="J8" s="70" t="str">
        <f t="shared" si="2"/>
        <v/>
      </c>
      <c r="K8" s="14"/>
      <c r="L8" s="14"/>
      <c r="M8" s="14"/>
    </row>
    <row r="9" spans="1:13" ht="15" customHeight="1" x14ac:dyDescent="0.3">
      <c r="A9" s="71" t="s">
        <v>393</v>
      </c>
      <c r="B9" s="72">
        <f>SUMPRODUCT((MONTH('DON-HANG'!$B$5:$B$1000)=4)*(YEAR('DON-HANG'!$B$5:$B$1000)=$B$3)*('DON-HANG'!$G$5:$G$1000&lt;&gt;""))</f>
        <v>0</v>
      </c>
      <c r="C9" s="73">
        <f>SUMPRODUCT((MONTH('DON-HANG'!$B$5:$B$1000)=4)*(YEAR('DON-HANG'!$B$5:$B$1000)=$B$3)*'DON-HANG'!$G$5:$G$1000)</f>
        <v>0</v>
      </c>
      <c r="D9" s="73">
        <f>SUMPRODUCT((MONTH('DON-HANG'!$B$5:$B$1000)=4)*(YEAR('DON-HANG'!$B$5:$B$1000)=$B$3)*'DON-HANG'!$H$5:$H$1000)</f>
        <v>0</v>
      </c>
      <c r="E9" s="73">
        <f>SUMPRODUCT((MONTH('DON-HANG'!$B$5:$B$1000)=4)*(YEAR('DON-HANG'!$B$5:$B$1000)=$B$3)*('DON-HANG'!$I$5:$I$1000+'DON-HANG'!$J$5:$J$1000+'DON-HANG'!$K$5:$K$1000))</f>
        <v>0</v>
      </c>
      <c r="F9" s="73">
        <f t="shared" si="0"/>
        <v>0</v>
      </c>
      <c r="G9" s="73">
        <f>SUMIFS('CHI-PHI'!$D$45:$D$68,'CHI-PHI'!$B$45:$B$68,$B$3,'CHI-PHI'!$C$45:$C$68,4)</f>
        <v>0</v>
      </c>
      <c r="H9" s="73">
        <f>SUMPRODUCT((MONTH('CHI-PHI'!$B$23:$B$40)=4)*(YEAR('CHI-PHI'!$B$23:$B$40)=$B$3)*'CHI-PHI'!$E$23:$E$40)</f>
        <v>0</v>
      </c>
      <c r="I9" s="74">
        <f t="shared" si="1"/>
        <v>0</v>
      </c>
      <c r="J9" s="75" t="str">
        <f t="shared" si="2"/>
        <v/>
      </c>
      <c r="K9" s="14"/>
      <c r="L9" s="14"/>
      <c r="M9" s="14"/>
    </row>
    <row r="10" spans="1:13" ht="15" customHeight="1" x14ac:dyDescent="0.3">
      <c r="A10" s="66" t="s">
        <v>394</v>
      </c>
      <c r="B10" s="67">
        <f>SUMPRODUCT((MONTH('DON-HANG'!$B$5:$B$1000)=5)*(YEAR('DON-HANG'!$B$5:$B$1000)=$B$3)*('DON-HANG'!$G$5:$G$1000&lt;&gt;""))</f>
        <v>0</v>
      </c>
      <c r="C10" s="68">
        <f>SUMPRODUCT((MONTH('DON-HANG'!$B$5:$B$1000)=5)*(YEAR('DON-HANG'!$B$5:$B$1000)=$B$3)*'DON-HANG'!$G$5:$G$1000)</f>
        <v>0</v>
      </c>
      <c r="D10" s="68">
        <f>SUMPRODUCT((MONTH('DON-HANG'!$B$5:$B$1000)=5)*(YEAR('DON-HANG'!$B$5:$B$1000)=$B$3)*'DON-HANG'!$H$5:$H$1000)</f>
        <v>0</v>
      </c>
      <c r="E10" s="68">
        <f>SUMPRODUCT((MONTH('DON-HANG'!$B$5:$B$1000)=5)*(YEAR('DON-HANG'!$B$5:$B$1000)=$B$3)*('DON-HANG'!$I$5:$I$1000+'DON-HANG'!$J$5:$J$1000+'DON-HANG'!$K$5:$K$1000))</f>
        <v>0</v>
      </c>
      <c r="F10" s="68">
        <f t="shared" si="0"/>
        <v>0</v>
      </c>
      <c r="G10" s="68">
        <f>SUMIFS('CHI-PHI'!$D$45:$D$68,'CHI-PHI'!$B$45:$B$68,$B$3,'CHI-PHI'!$C$45:$C$68,5)</f>
        <v>0</v>
      </c>
      <c r="H10" s="68">
        <f>SUMPRODUCT((MONTH('CHI-PHI'!$B$23:$B$40)=5)*(YEAR('CHI-PHI'!$B$23:$B$40)=$B$3)*'CHI-PHI'!$E$23:$E$40)</f>
        <v>0</v>
      </c>
      <c r="I10" s="69">
        <f t="shared" si="1"/>
        <v>0</v>
      </c>
      <c r="J10" s="70" t="str">
        <f t="shared" si="2"/>
        <v/>
      </c>
      <c r="K10" s="14"/>
      <c r="L10" s="14"/>
      <c r="M10" s="14"/>
    </row>
    <row r="11" spans="1:13" ht="15" customHeight="1" x14ac:dyDescent="0.3">
      <c r="A11" s="71" t="s">
        <v>395</v>
      </c>
      <c r="B11" s="72">
        <f>SUMPRODUCT((MONTH('DON-HANG'!$B$5:$B$1000)=6)*(YEAR('DON-HANG'!$B$5:$B$1000)=$B$3)*('DON-HANG'!$G$5:$G$1000&lt;&gt;""))</f>
        <v>3</v>
      </c>
      <c r="C11" s="73">
        <f>SUMPRODUCT((MONTH('DON-HANG'!$B$5:$B$1000)=6)*(YEAR('DON-HANG'!$B$5:$B$1000)=$B$3)*'DON-HANG'!$G$5:$G$1000)</f>
        <v>1860000</v>
      </c>
      <c r="D11" s="73">
        <f>SUMPRODUCT((MONTH('DON-HANG'!$B$5:$B$1000)=6)*(YEAR('DON-HANG'!$B$5:$B$1000)=$B$3)*'DON-HANG'!$H$5:$H$1000)</f>
        <v>1550000</v>
      </c>
      <c r="E11" s="73">
        <f>SUMPRODUCT((MONTH('DON-HANG'!$B$5:$B$1000)=6)*(YEAR('DON-HANG'!$B$5:$B$1000)=$B$3)*('DON-HANG'!$I$5:$I$1000+'DON-HANG'!$J$5:$J$1000+'DON-HANG'!$K$5:$K$1000))</f>
        <v>0</v>
      </c>
      <c r="F11" s="73">
        <f t="shared" si="0"/>
        <v>310000</v>
      </c>
      <c r="G11" s="73">
        <f>SUMIFS('CHI-PHI'!$D$45:$D$68,'CHI-PHI'!$B$45:$B$68,$B$3,'CHI-PHI'!$C$45:$C$68,6)</f>
        <v>138000</v>
      </c>
      <c r="H11" s="73">
        <f>SUMPRODUCT((MONTH('CHI-PHI'!$B$23:$B$40)=6)*(YEAR('CHI-PHI'!$B$23:$B$40)=$B$3)*'CHI-PHI'!$E$23:$E$40)</f>
        <v>0</v>
      </c>
      <c r="I11" s="74">
        <f t="shared" si="1"/>
        <v>172000</v>
      </c>
      <c r="J11" s="75">
        <f t="shared" si="2"/>
        <v>9.2473118279569888E-2</v>
      </c>
      <c r="K11" s="14"/>
      <c r="L11" s="14"/>
      <c r="M11" s="14"/>
    </row>
    <row r="12" spans="1:13" ht="15" customHeight="1" x14ac:dyDescent="0.3">
      <c r="A12" s="66" t="s">
        <v>396</v>
      </c>
      <c r="B12" s="67">
        <f>SUMPRODUCT((MONTH('DON-HANG'!$B$5:$B$1000)=7)*(YEAR('DON-HANG'!$B$5:$B$1000)=$B$3)*('DON-HANG'!$G$5:$G$1000&lt;&gt;""))</f>
        <v>0</v>
      </c>
      <c r="C12" s="68">
        <f>SUMPRODUCT((MONTH('DON-HANG'!$B$5:$B$1000)=7)*(YEAR('DON-HANG'!$B$5:$B$1000)=$B$3)*'DON-HANG'!$G$5:$G$1000)</f>
        <v>0</v>
      </c>
      <c r="D12" s="68">
        <f>SUMPRODUCT((MONTH('DON-HANG'!$B$5:$B$1000)=7)*(YEAR('DON-HANG'!$B$5:$B$1000)=$B$3)*'DON-HANG'!$H$5:$H$1000)</f>
        <v>0</v>
      </c>
      <c r="E12" s="68">
        <f>SUMPRODUCT((MONTH('DON-HANG'!$B$5:$B$1000)=7)*(YEAR('DON-HANG'!$B$5:$B$1000)=$B$3)*('DON-HANG'!$I$5:$I$1000+'DON-HANG'!$J$5:$J$1000+'DON-HANG'!$K$5:$K$1000))</f>
        <v>0</v>
      </c>
      <c r="F12" s="68">
        <f t="shared" si="0"/>
        <v>0</v>
      </c>
      <c r="G12" s="68">
        <f>SUMIFS('CHI-PHI'!$D$45:$D$68,'CHI-PHI'!$B$45:$B$68,$B$3,'CHI-PHI'!$C$45:$C$68,7)</f>
        <v>0</v>
      </c>
      <c r="H12" s="68">
        <f>SUMPRODUCT((MONTH('CHI-PHI'!$B$23:$B$40)=7)*(YEAR('CHI-PHI'!$B$23:$B$40)=$B$3)*'CHI-PHI'!$E$23:$E$40)</f>
        <v>0</v>
      </c>
      <c r="I12" s="69">
        <f t="shared" si="1"/>
        <v>0</v>
      </c>
      <c r="J12" s="70" t="str">
        <f t="shared" si="2"/>
        <v/>
      </c>
      <c r="K12" s="14"/>
      <c r="L12" s="14"/>
      <c r="M12" s="14"/>
    </row>
    <row r="13" spans="1:13" ht="15" customHeight="1" x14ac:dyDescent="0.3">
      <c r="A13" s="71" t="s">
        <v>397</v>
      </c>
      <c r="B13" s="72">
        <f>SUMPRODUCT((MONTH('DON-HANG'!$B$5:$B$1000)=8)*(YEAR('DON-HANG'!$B$5:$B$1000)=$B$3)*('DON-HANG'!$G$5:$G$1000&lt;&gt;""))</f>
        <v>0</v>
      </c>
      <c r="C13" s="73">
        <f>SUMPRODUCT((MONTH('DON-HANG'!$B$5:$B$1000)=8)*(YEAR('DON-HANG'!$B$5:$B$1000)=$B$3)*'DON-HANG'!$G$5:$G$1000)</f>
        <v>0</v>
      </c>
      <c r="D13" s="73">
        <f>SUMPRODUCT((MONTH('DON-HANG'!$B$5:$B$1000)=8)*(YEAR('DON-HANG'!$B$5:$B$1000)=$B$3)*'DON-HANG'!$H$5:$H$1000)</f>
        <v>0</v>
      </c>
      <c r="E13" s="73">
        <f>SUMPRODUCT((MONTH('DON-HANG'!$B$5:$B$1000)=8)*(YEAR('DON-HANG'!$B$5:$B$1000)=$B$3)*('DON-HANG'!$I$5:$I$1000+'DON-HANG'!$J$5:$J$1000+'DON-HANG'!$K$5:$K$1000))</f>
        <v>0</v>
      </c>
      <c r="F13" s="73">
        <f t="shared" si="0"/>
        <v>0</v>
      </c>
      <c r="G13" s="73">
        <f>SUMIFS('CHI-PHI'!$D$45:$D$68,'CHI-PHI'!$B$45:$B$68,$B$3,'CHI-PHI'!$C$45:$C$68,8)</f>
        <v>0</v>
      </c>
      <c r="H13" s="73">
        <f>SUMPRODUCT((MONTH('CHI-PHI'!$B$23:$B$40)=8)*(YEAR('CHI-PHI'!$B$23:$B$40)=$B$3)*'CHI-PHI'!$E$23:$E$40)</f>
        <v>0</v>
      </c>
      <c r="I13" s="74">
        <f t="shared" si="1"/>
        <v>0</v>
      </c>
      <c r="J13" s="75" t="str">
        <f t="shared" si="2"/>
        <v/>
      </c>
      <c r="K13" s="14"/>
      <c r="L13" s="14"/>
      <c r="M13" s="14"/>
    </row>
    <row r="14" spans="1:13" ht="15" customHeight="1" x14ac:dyDescent="0.3">
      <c r="A14" s="66" t="s">
        <v>398</v>
      </c>
      <c r="B14" s="67">
        <f>SUMPRODUCT((MONTH('DON-HANG'!$B$5:$B$1000)=9)*(YEAR('DON-HANG'!$B$5:$B$1000)=$B$3)*('DON-HANG'!$G$5:$G$1000&lt;&gt;""))</f>
        <v>0</v>
      </c>
      <c r="C14" s="68">
        <f>SUMPRODUCT((MONTH('DON-HANG'!$B$5:$B$1000)=9)*(YEAR('DON-HANG'!$B$5:$B$1000)=$B$3)*'DON-HANG'!$G$5:$G$1000)</f>
        <v>0</v>
      </c>
      <c r="D14" s="68">
        <f>SUMPRODUCT((MONTH('DON-HANG'!$B$5:$B$1000)=9)*(YEAR('DON-HANG'!$B$5:$B$1000)=$B$3)*'DON-HANG'!$H$5:$H$1000)</f>
        <v>0</v>
      </c>
      <c r="E14" s="68">
        <f>SUMPRODUCT((MONTH('DON-HANG'!$B$5:$B$1000)=9)*(YEAR('DON-HANG'!$B$5:$B$1000)=$B$3)*('DON-HANG'!$I$5:$I$1000+'DON-HANG'!$J$5:$J$1000+'DON-HANG'!$K$5:$K$1000))</f>
        <v>0</v>
      </c>
      <c r="F14" s="68">
        <f t="shared" si="0"/>
        <v>0</v>
      </c>
      <c r="G14" s="68">
        <f>SUMIFS('CHI-PHI'!$D$45:$D$68,'CHI-PHI'!$B$45:$B$68,$B$3,'CHI-PHI'!$C$45:$C$68,9)</f>
        <v>0</v>
      </c>
      <c r="H14" s="68">
        <f>SUMPRODUCT((MONTH('CHI-PHI'!$B$23:$B$40)=9)*(YEAR('CHI-PHI'!$B$23:$B$40)=$B$3)*'CHI-PHI'!$E$23:$E$40)</f>
        <v>0</v>
      </c>
      <c r="I14" s="69">
        <f t="shared" si="1"/>
        <v>0</v>
      </c>
      <c r="J14" s="70" t="str">
        <f t="shared" si="2"/>
        <v/>
      </c>
      <c r="K14" s="14"/>
      <c r="L14" s="14"/>
      <c r="M14" s="14"/>
    </row>
    <row r="15" spans="1:13" ht="15" customHeight="1" x14ac:dyDescent="0.3">
      <c r="A15" s="71" t="s">
        <v>399</v>
      </c>
      <c r="B15" s="72">
        <f>SUMPRODUCT((MONTH('DON-HANG'!$B$5:$B$1000)=10)*(YEAR('DON-HANG'!$B$5:$B$1000)=$B$3)*('DON-HANG'!$G$5:$G$1000&lt;&gt;""))</f>
        <v>0</v>
      </c>
      <c r="C15" s="73">
        <f>SUMPRODUCT((MONTH('DON-HANG'!$B$5:$B$1000)=10)*(YEAR('DON-HANG'!$B$5:$B$1000)=$B$3)*'DON-HANG'!$G$5:$G$1000)</f>
        <v>0</v>
      </c>
      <c r="D15" s="73">
        <f>SUMPRODUCT((MONTH('DON-HANG'!$B$5:$B$1000)=10)*(YEAR('DON-HANG'!$B$5:$B$1000)=$B$3)*'DON-HANG'!$H$5:$H$1000)</f>
        <v>0</v>
      </c>
      <c r="E15" s="73">
        <f>SUMPRODUCT((MONTH('DON-HANG'!$B$5:$B$1000)=10)*(YEAR('DON-HANG'!$B$5:$B$1000)=$B$3)*('DON-HANG'!$I$5:$I$1000+'DON-HANG'!$J$5:$J$1000+'DON-HANG'!$K$5:$K$1000))</f>
        <v>0</v>
      </c>
      <c r="F15" s="73">
        <f t="shared" si="0"/>
        <v>0</v>
      </c>
      <c r="G15" s="73">
        <f>SUMIFS('CHI-PHI'!$D$45:$D$68,'CHI-PHI'!$B$45:$B$68,$B$3,'CHI-PHI'!$C$45:$C$68,10)</f>
        <v>0</v>
      </c>
      <c r="H15" s="73">
        <f>SUMPRODUCT((MONTH('CHI-PHI'!$B$23:$B$40)=10)*(YEAR('CHI-PHI'!$B$23:$B$40)=$B$3)*'CHI-PHI'!$E$23:$E$40)</f>
        <v>0</v>
      </c>
      <c r="I15" s="74">
        <f t="shared" si="1"/>
        <v>0</v>
      </c>
      <c r="J15" s="75" t="str">
        <f t="shared" si="2"/>
        <v/>
      </c>
      <c r="K15" s="14"/>
      <c r="L15" s="14"/>
      <c r="M15" s="14"/>
    </row>
    <row r="16" spans="1:13" ht="15" customHeight="1" x14ac:dyDescent="0.3">
      <c r="A16" s="66" t="s">
        <v>400</v>
      </c>
      <c r="B16" s="67">
        <f>SUMPRODUCT((MONTH('DON-HANG'!$B$5:$B$1000)=11)*(YEAR('DON-HANG'!$B$5:$B$1000)=$B$3)*('DON-HANG'!$G$5:$G$1000&lt;&gt;""))</f>
        <v>0</v>
      </c>
      <c r="C16" s="68">
        <f>SUMPRODUCT((MONTH('DON-HANG'!$B$5:$B$1000)=11)*(YEAR('DON-HANG'!$B$5:$B$1000)=$B$3)*'DON-HANG'!$G$5:$G$1000)</f>
        <v>0</v>
      </c>
      <c r="D16" s="68">
        <f>SUMPRODUCT((MONTH('DON-HANG'!$B$5:$B$1000)=11)*(YEAR('DON-HANG'!$B$5:$B$1000)=$B$3)*'DON-HANG'!$H$5:$H$1000)</f>
        <v>0</v>
      </c>
      <c r="E16" s="68">
        <f>SUMPRODUCT((MONTH('DON-HANG'!$B$5:$B$1000)=11)*(YEAR('DON-HANG'!$B$5:$B$1000)=$B$3)*('DON-HANG'!$I$5:$I$1000+'DON-HANG'!$J$5:$J$1000+'DON-HANG'!$K$5:$K$1000))</f>
        <v>0</v>
      </c>
      <c r="F16" s="68">
        <f t="shared" si="0"/>
        <v>0</v>
      </c>
      <c r="G16" s="68">
        <f>SUMIFS('CHI-PHI'!$D$45:$D$68,'CHI-PHI'!$B$45:$B$68,$B$3,'CHI-PHI'!$C$45:$C$68,11)</f>
        <v>0</v>
      </c>
      <c r="H16" s="68">
        <f>SUMPRODUCT((MONTH('CHI-PHI'!$B$23:$B$40)=11)*(YEAR('CHI-PHI'!$B$23:$B$40)=$B$3)*'CHI-PHI'!$E$23:$E$40)</f>
        <v>0</v>
      </c>
      <c r="I16" s="69">
        <f t="shared" si="1"/>
        <v>0</v>
      </c>
      <c r="J16" s="70" t="str">
        <f t="shared" si="2"/>
        <v/>
      </c>
      <c r="K16" s="14"/>
      <c r="L16" s="14"/>
      <c r="M16" s="14"/>
    </row>
    <row r="17" spans="1:13" ht="15" customHeight="1" x14ac:dyDescent="0.3">
      <c r="A17" s="71" t="s">
        <v>401</v>
      </c>
      <c r="B17" s="72">
        <f>SUMPRODUCT((MONTH('DON-HANG'!$B$5:$B$1000)=12)*(YEAR('DON-HANG'!$B$5:$B$1000)=$B$3)*('DON-HANG'!$G$5:$G$1000&lt;&gt;""))</f>
        <v>0</v>
      </c>
      <c r="C17" s="73">
        <f>SUMPRODUCT((MONTH('DON-HANG'!$B$5:$B$1000)=12)*(YEAR('DON-HANG'!$B$5:$B$1000)=$B$3)*'DON-HANG'!$G$5:$G$1000)</f>
        <v>0</v>
      </c>
      <c r="D17" s="73">
        <f>SUMPRODUCT((MONTH('DON-HANG'!$B$5:$B$1000)=12)*(YEAR('DON-HANG'!$B$5:$B$1000)=$B$3)*'DON-HANG'!$H$5:$H$1000)</f>
        <v>0</v>
      </c>
      <c r="E17" s="73">
        <f>SUMPRODUCT((MONTH('DON-HANG'!$B$5:$B$1000)=12)*(YEAR('DON-HANG'!$B$5:$B$1000)=$B$3)*('DON-HANG'!$I$5:$I$1000+'DON-HANG'!$J$5:$J$1000+'DON-HANG'!$K$5:$K$1000))</f>
        <v>0</v>
      </c>
      <c r="F17" s="73">
        <f t="shared" si="0"/>
        <v>0</v>
      </c>
      <c r="G17" s="73">
        <f>SUMIFS('CHI-PHI'!$D$45:$D$68,'CHI-PHI'!$B$45:$B$68,$B$3,'CHI-PHI'!$C$45:$C$68,12)</f>
        <v>0</v>
      </c>
      <c r="H17" s="73">
        <f>SUMPRODUCT((MONTH('CHI-PHI'!$B$23:$B$40)=12)*(YEAR('CHI-PHI'!$B$23:$B$40)=$B$3)*'CHI-PHI'!$E$23:$E$40)</f>
        <v>0</v>
      </c>
      <c r="I17" s="74">
        <f t="shared" si="1"/>
        <v>0</v>
      </c>
      <c r="J17" s="75" t="str">
        <f t="shared" si="2"/>
        <v/>
      </c>
      <c r="K17" s="14"/>
      <c r="L17" s="14"/>
      <c r="M17" s="14"/>
    </row>
    <row r="18" spans="1:13" ht="24" customHeight="1" x14ac:dyDescent="0.3">
      <c r="A18" s="76" t="s">
        <v>402</v>
      </c>
      <c r="B18" s="77">
        <f t="shared" ref="B18:I18" si="3">SUM(B6:B17)</f>
        <v>3</v>
      </c>
      <c r="C18" s="46">
        <f t="shared" si="3"/>
        <v>1860000</v>
      </c>
      <c r="D18" s="46">
        <f t="shared" si="3"/>
        <v>1550000</v>
      </c>
      <c r="E18" s="46">
        <f t="shared" si="3"/>
        <v>0</v>
      </c>
      <c r="F18" s="46">
        <f t="shared" si="3"/>
        <v>310000</v>
      </c>
      <c r="G18" s="46">
        <f t="shared" si="3"/>
        <v>138000</v>
      </c>
      <c r="H18" s="46">
        <f t="shared" si="3"/>
        <v>0</v>
      </c>
      <c r="I18" s="46">
        <f t="shared" si="3"/>
        <v>172000</v>
      </c>
      <c r="J18" s="78">
        <f t="shared" si="2"/>
        <v>9.2473118279569888E-2</v>
      </c>
      <c r="K18" s="14"/>
      <c r="L18" s="14"/>
      <c r="M18" s="14"/>
    </row>
    <row r="19" spans="1:13" ht="14.25" customHeight="1" x14ac:dyDescent="0.3">
      <c r="A19" s="14"/>
      <c r="B19" s="14"/>
      <c r="C19" s="14"/>
      <c r="D19" s="14"/>
      <c r="E19" s="14"/>
      <c r="F19" s="14"/>
      <c r="G19" s="14"/>
      <c r="H19" s="14"/>
      <c r="I19" s="14"/>
      <c r="J19" s="14"/>
      <c r="K19" s="14"/>
      <c r="L19" s="14"/>
      <c r="M19" s="14"/>
    </row>
    <row r="20" spans="1:13" ht="14.25" customHeight="1" x14ac:dyDescent="0.3">
      <c r="A20" s="14"/>
      <c r="B20" s="14"/>
      <c r="C20" s="14"/>
      <c r="D20" s="14"/>
      <c r="E20" s="14"/>
      <c r="F20" s="14"/>
      <c r="G20" s="14"/>
      <c r="H20" s="14"/>
      <c r="I20" s="14"/>
      <c r="J20" s="14"/>
      <c r="K20" s="14"/>
      <c r="L20" s="14"/>
      <c r="M20" s="14"/>
    </row>
    <row r="21" spans="1:13" ht="15" customHeight="1" x14ac:dyDescent="0.3">
      <c r="A21" s="3" t="s">
        <v>403</v>
      </c>
      <c r="B21" s="3"/>
      <c r="C21" s="3"/>
      <c r="D21" s="3"/>
      <c r="E21" s="3"/>
      <c r="F21" s="3"/>
      <c r="G21" s="3"/>
      <c r="H21" s="3"/>
      <c r="I21" s="3"/>
      <c r="J21" s="3"/>
      <c r="K21" s="14"/>
      <c r="L21" s="14"/>
      <c r="M21" s="14"/>
    </row>
    <row r="22" spans="1:13" ht="24" customHeight="1" x14ac:dyDescent="0.3">
      <c r="A22" s="25" t="s">
        <v>152</v>
      </c>
      <c r="B22" s="25" t="s">
        <v>404</v>
      </c>
      <c r="C22" s="25" t="s">
        <v>140</v>
      </c>
      <c r="D22" s="25" t="s">
        <v>383</v>
      </c>
      <c r="E22" s="25" t="s">
        <v>384</v>
      </c>
      <c r="F22" s="25" t="s">
        <v>405</v>
      </c>
      <c r="G22" s="25" t="s">
        <v>406</v>
      </c>
      <c r="H22" s="14"/>
      <c r="I22" s="14"/>
      <c r="J22" s="14"/>
      <c r="K22" s="14"/>
      <c r="L22" s="14"/>
      <c r="M22" s="14"/>
    </row>
    <row r="23" spans="1:13" ht="24.75" customHeight="1" x14ac:dyDescent="0.3">
      <c r="A23" s="79" t="s">
        <v>153</v>
      </c>
      <c r="B23" s="67">
        <f>SUMPRODUCT(('DON-HANG'!$D$5:$D$1000=A23)*(YEAR('DON-HANG'!$B$5:$B$1000)=$B$3)*('DON-HANG'!$G$5:$G$1000&lt;&gt;""))</f>
        <v>0</v>
      </c>
      <c r="C23" s="68">
        <f>SUMPRODUCT(('DON-HANG'!$D$5:$D$1000=A23)*(YEAR('DON-HANG'!$B$5:$B$1000)=$B$3)*'DON-HANG'!$G$5:$G$1000)</f>
        <v>0</v>
      </c>
      <c r="D23" s="68">
        <f>SUMPRODUCT(('DON-HANG'!$D$5:$D$1000=A23)*(YEAR('DON-HANG'!$B$5:$B$1000)=$B$3)*'DON-HANG'!$H$5:$H$1000)</f>
        <v>0</v>
      </c>
      <c r="E23" s="68">
        <f>SUMPRODUCT(('DON-HANG'!$D$5:$D$1000=A23)*(YEAR('DON-HANG'!$B$5:$B$1000)=$B$3)*('DON-HANG'!$I$5:$I$1000+'DON-HANG'!$J$5:$J$1000+'DON-HANG'!$K$5:$K$1000))</f>
        <v>0</v>
      </c>
      <c r="F23" s="68">
        <f t="shared" ref="F23:F30" si="4">C23-D23-E23</f>
        <v>0</v>
      </c>
      <c r="G23" s="70" t="str">
        <f t="shared" ref="G23:G30" si="5">IFERROR(F23/C23,"")</f>
        <v/>
      </c>
      <c r="H23" s="14"/>
      <c r="I23" s="14"/>
      <c r="J23" s="14"/>
      <c r="K23" s="14"/>
      <c r="L23" s="14"/>
      <c r="M23" s="14"/>
    </row>
    <row r="24" spans="1:13" ht="15" customHeight="1" x14ac:dyDescent="0.3">
      <c r="A24" s="80" t="s">
        <v>154</v>
      </c>
      <c r="B24" s="72">
        <f>SUMPRODUCT(('DON-HANG'!$D$5:$D$1000=A24)*(YEAR('DON-HANG'!$B$5:$B$1000)=$B$3)*('DON-HANG'!$G$5:$G$1000&lt;&gt;""))</f>
        <v>0</v>
      </c>
      <c r="C24" s="73">
        <f>SUMPRODUCT(('DON-HANG'!$D$5:$D$1000=A24)*(YEAR('DON-HANG'!$B$5:$B$1000)=$B$3)*'DON-HANG'!$G$5:$G$1000)</f>
        <v>0</v>
      </c>
      <c r="D24" s="73">
        <f>SUMPRODUCT(('DON-HANG'!$D$5:$D$1000=A24)*(YEAR('DON-HANG'!$B$5:$B$1000)=$B$3)*'DON-HANG'!$H$5:$H$1000)</f>
        <v>0</v>
      </c>
      <c r="E24" s="73">
        <f>SUMPRODUCT(('DON-HANG'!$D$5:$D$1000=A24)*(YEAR('DON-HANG'!$B$5:$B$1000)=$B$3)*('DON-HANG'!$I$5:$I$1000+'DON-HANG'!$J$5:$J$1000+'DON-HANG'!$K$5:$K$1000))</f>
        <v>0</v>
      </c>
      <c r="F24" s="73">
        <f t="shared" si="4"/>
        <v>0</v>
      </c>
      <c r="G24" s="75" t="str">
        <f t="shared" si="5"/>
        <v/>
      </c>
      <c r="H24" s="14"/>
      <c r="I24" s="14"/>
      <c r="J24" s="14"/>
      <c r="K24" s="14"/>
      <c r="L24" s="14"/>
      <c r="M24" s="14"/>
    </row>
    <row r="25" spans="1:13" ht="24.75" customHeight="1" x14ac:dyDescent="0.3">
      <c r="A25" s="79" t="s">
        <v>155</v>
      </c>
      <c r="B25" s="67">
        <f>SUMPRODUCT(('DON-HANG'!$D$5:$D$1000=A25)*(YEAR('DON-HANG'!$B$5:$B$1000)=$B$3)*('DON-HANG'!$G$5:$G$1000&lt;&gt;""))</f>
        <v>0</v>
      </c>
      <c r="C25" s="68">
        <f>SUMPRODUCT(('DON-HANG'!$D$5:$D$1000=A25)*(YEAR('DON-HANG'!$B$5:$B$1000)=$B$3)*'DON-HANG'!$G$5:$G$1000)</f>
        <v>0</v>
      </c>
      <c r="D25" s="68">
        <f>SUMPRODUCT(('DON-HANG'!$D$5:$D$1000=A25)*(YEAR('DON-HANG'!$B$5:$B$1000)=$B$3)*'DON-HANG'!$H$5:$H$1000)</f>
        <v>0</v>
      </c>
      <c r="E25" s="68">
        <f>SUMPRODUCT(('DON-HANG'!$D$5:$D$1000=A25)*(YEAR('DON-HANG'!$B$5:$B$1000)=$B$3)*('DON-HANG'!$I$5:$I$1000+'DON-HANG'!$J$5:$J$1000+'DON-HANG'!$K$5:$K$1000))</f>
        <v>0</v>
      </c>
      <c r="F25" s="68">
        <f t="shared" si="4"/>
        <v>0</v>
      </c>
      <c r="G25" s="70" t="str">
        <f t="shared" si="5"/>
        <v/>
      </c>
      <c r="H25" s="14"/>
      <c r="I25" s="14"/>
      <c r="J25" s="14"/>
      <c r="K25" s="14"/>
      <c r="L25" s="14"/>
      <c r="M25" s="14"/>
    </row>
    <row r="26" spans="1:13" ht="15" customHeight="1" x14ac:dyDescent="0.3">
      <c r="A26" s="80" t="s">
        <v>156</v>
      </c>
      <c r="B26" s="72">
        <f>SUMPRODUCT(('DON-HANG'!$D$5:$D$1000=A26)*(YEAR('DON-HANG'!$B$5:$B$1000)=$B$3)*('DON-HANG'!$G$5:$G$1000&lt;&gt;""))</f>
        <v>0</v>
      </c>
      <c r="C26" s="73">
        <f>SUMPRODUCT(('DON-HANG'!$D$5:$D$1000=A26)*(YEAR('DON-HANG'!$B$5:$B$1000)=$B$3)*'DON-HANG'!$G$5:$G$1000)</f>
        <v>0</v>
      </c>
      <c r="D26" s="73">
        <f>SUMPRODUCT(('DON-HANG'!$D$5:$D$1000=A26)*(YEAR('DON-HANG'!$B$5:$B$1000)=$B$3)*'DON-HANG'!$H$5:$H$1000)</f>
        <v>0</v>
      </c>
      <c r="E26" s="73">
        <f>SUMPRODUCT(('DON-HANG'!$D$5:$D$1000=A26)*(YEAR('DON-HANG'!$B$5:$B$1000)=$B$3)*('DON-HANG'!$I$5:$I$1000+'DON-HANG'!$J$5:$J$1000+'DON-HANG'!$K$5:$K$1000))</f>
        <v>0</v>
      </c>
      <c r="F26" s="73">
        <f t="shared" si="4"/>
        <v>0</v>
      </c>
      <c r="G26" s="75" t="str">
        <f t="shared" si="5"/>
        <v/>
      </c>
      <c r="H26" s="14"/>
      <c r="I26" s="14"/>
      <c r="J26" s="14"/>
      <c r="K26" s="14"/>
      <c r="L26" s="14"/>
      <c r="M26" s="14"/>
    </row>
    <row r="27" spans="1:13" ht="15" customHeight="1" x14ac:dyDescent="0.3">
      <c r="A27" s="79" t="s">
        <v>157</v>
      </c>
      <c r="B27" s="67">
        <f>SUMPRODUCT(('DON-HANG'!$D$5:$D$1000=A27)*(YEAR('DON-HANG'!$B$5:$B$1000)=$B$3)*('DON-HANG'!$G$5:$G$1000&lt;&gt;""))</f>
        <v>2</v>
      </c>
      <c r="C27" s="68">
        <f>SUMPRODUCT(('DON-HANG'!$D$5:$D$1000=A27)*(YEAR('DON-HANG'!$B$5:$B$1000)=$B$3)*'DON-HANG'!$G$5:$G$1000)</f>
        <v>1560000</v>
      </c>
      <c r="D27" s="68">
        <f>SUMPRODUCT(('DON-HANG'!$D$5:$D$1000=A27)*(YEAR('DON-HANG'!$B$5:$B$1000)=$B$3)*'DON-HANG'!$H$5:$H$1000)</f>
        <v>1340000</v>
      </c>
      <c r="E27" s="68">
        <f>SUMPRODUCT(('DON-HANG'!$D$5:$D$1000=A27)*(YEAR('DON-HANG'!$B$5:$B$1000)=$B$3)*('DON-HANG'!$I$5:$I$1000+'DON-HANG'!$J$5:$J$1000+'DON-HANG'!$K$5:$K$1000))</f>
        <v>0</v>
      </c>
      <c r="F27" s="68">
        <f t="shared" si="4"/>
        <v>220000</v>
      </c>
      <c r="G27" s="70">
        <f t="shared" si="5"/>
        <v>0.14102564102564102</v>
      </c>
      <c r="H27" s="14"/>
      <c r="I27" s="14"/>
      <c r="J27" s="14"/>
      <c r="K27" s="14"/>
      <c r="L27" s="14"/>
      <c r="M27" s="14"/>
    </row>
    <row r="28" spans="1:13" ht="15" customHeight="1" x14ac:dyDescent="0.3">
      <c r="A28" s="80" t="s">
        <v>158</v>
      </c>
      <c r="B28" s="72">
        <f>SUMPRODUCT(('DON-HANG'!$D$5:$D$1000=A28)*(YEAR('DON-HANG'!$B$5:$B$1000)=$B$3)*('DON-HANG'!$G$5:$G$1000&lt;&gt;""))</f>
        <v>1</v>
      </c>
      <c r="C28" s="73">
        <f>SUMPRODUCT(('DON-HANG'!$D$5:$D$1000=A28)*(YEAR('DON-HANG'!$B$5:$B$1000)=$B$3)*'DON-HANG'!$G$5:$G$1000)</f>
        <v>300000</v>
      </c>
      <c r="D28" s="73">
        <f>SUMPRODUCT(('DON-HANG'!$D$5:$D$1000=A28)*(YEAR('DON-HANG'!$B$5:$B$1000)=$B$3)*'DON-HANG'!$H$5:$H$1000)</f>
        <v>210000</v>
      </c>
      <c r="E28" s="73">
        <f>SUMPRODUCT(('DON-HANG'!$D$5:$D$1000=A28)*(YEAR('DON-HANG'!$B$5:$B$1000)=$B$3)*('DON-HANG'!$I$5:$I$1000+'DON-HANG'!$J$5:$J$1000+'DON-HANG'!$K$5:$K$1000))</f>
        <v>0</v>
      </c>
      <c r="F28" s="73">
        <f t="shared" si="4"/>
        <v>90000</v>
      </c>
      <c r="G28" s="75">
        <f t="shared" si="5"/>
        <v>0.3</v>
      </c>
      <c r="H28" s="14"/>
      <c r="I28" s="14"/>
      <c r="J28" s="14"/>
      <c r="K28" s="14"/>
      <c r="L28" s="14"/>
      <c r="M28" s="14"/>
    </row>
    <row r="29" spans="1:13" ht="15" customHeight="1" x14ac:dyDescent="0.3">
      <c r="A29" s="79" t="s">
        <v>159</v>
      </c>
      <c r="B29" s="67">
        <f>SUMPRODUCT(('DON-HANG'!$D$5:$D$1000=A29)*(YEAR('DON-HANG'!$B$5:$B$1000)=$B$3)*('DON-HANG'!$G$5:$G$1000&lt;&gt;""))</f>
        <v>0</v>
      </c>
      <c r="C29" s="68">
        <f>SUMPRODUCT(('DON-HANG'!$D$5:$D$1000=A29)*(YEAR('DON-HANG'!$B$5:$B$1000)=$B$3)*'DON-HANG'!$G$5:$G$1000)</f>
        <v>0</v>
      </c>
      <c r="D29" s="68">
        <f>SUMPRODUCT(('DON-HANG'!$D$5:$D$1000=A29)*(YEAR('DON-HANG'!$B$5:$B$1000)=$B$3)*'DON-HANG'!$H$5:$H$1000)</f>
        <v>0</v>
      </c>
      <c r="E29" s="68">
        <f>SUMPRODUCT(('DON-HANG'!$D$5:$D$1000=A29)*(YEAR('DON-HANG'!$B$5:$B$1000)=$B$3)*('DON-HANG'!$I$5:$I$1000+'DON-HANG'!$J$5:$J$1000+'DON-HANG'!$K$5:$K$1000))</f>
        <v>0</v>
      </c>
      <c r="F29" s="68">
        <f t="shared" si="4"/>
        <v>0</v>
      </c>
      <c r="G29" s="70" t="str">
        <f t="shared" si="5"/>
        <v/>
      </c>
      <c r="H29" s="14"/>
      <c r="I29" s="14"/>
      <c r="J29" s="14"/>
      <c r="K29" s="14"/>
      <c r="L29" s="14"/>
      <c r="M29" s="14"/>
    </row>
    <row r="30" spans="1:13" ht="15" customHeight="1" x14ac:dyDescent="0.3">
      <c r="A30" s="80" t="s">
        <v>160</v>
      </c>
      <c r="B30" s="72">
        <f>SUMPRODUCT(('DON-HANG'!$D$5:$D$1000=A30)*(YEAR('DON-HANG'!$B$5:$B$1000)=$B$3)*('DON-HANG'!$G$5:$G$1000&lt;&gt;""))</f>
        <v>0</v>
      </c>
      <c r="C30" s="73">
        <f>SUMPRODUCT(('DON-HANG'!$D$5:$D$1000=A30)*(YEAR('DON-HANG'!$B$5:$B$1000)=$B$3)*'DON-HANG'!$G$5:$G$1000)</f>
        <v>0</v>
      </c>
      <c r="D30" s="73">
        <f>SUMPRODUCT(('DON-HANG'!$D$5:$D$1000=A30)*(YEAR('DON-HANG'!$B$5:$B$1000)=$B$3)*'DON-HANG'!$H$5:$H$1000)</f>
        <v>0</v>
      </c>
      <c r="E30" s="73">
        <f>SUMPRODUCT(('DON-HANG'!$D$5:$D$1000=A30)*(YEAR('DON-HANG'!$B$5:$B$1000)=$B$3)*('DON-HANG'!$I$5:$I$1000+'DON-HANG'!$J$5:$J$1000+'DON-HANG'!$K$5:$K$1000))</f>
        <v>0</v>
      </c>
      <c r="F30" s="73">
        <f t="shared" si="4"/>
        <v>0</v>
      </c>
      <c r="G30" s="75" t="str">
        <f t="shared" si="5"/>
        <v/>
      </c>
      <c r="H30" s="14"/>
      <c r="I30" s="14"/>
      <c r="J30" s="14"/>
      <c r="K30" s="14"/>
      <c r="L30" s="14"/>
      <c r="M30" s="14"/>
    </row>
  </sheetData>
  <sheetProtection sheet="1" formatCells="0" formatColumns="0" formatRows="0" insertColumns="0" insertRows="0" deleteColumns="0" deleteRows="0" sort="0" autoFilter="0"/>
  <mergeCells count="4">
    <mergeCell ref="A1:J1"/>
    <mergeCell ref="L1:M1"/>
    <mergeCell ref="C3:J3"/>
    <mergeCell ref="A21:J21"/>
  </mergeCells>
  <conditionalFormatting sqref="I6:I17">
    <cfRule type="cellIs" dxfId="2" priority="2" operator="lessThan">
      <formula>0</formula>
    </cfRule>
  </conditionalFormatting>
  <dataValidations count="1">
    <dataValidation type="list" sqref="B3" xr:uid="{00000000-0002-0000-0A00-000000000000}">
      <formula1>NAM_LIST</formula1>
      <formula2>0</formula2>
    </dataValidation>
  </dataValidations>
  <hyperlinks>
    <hyperlink ref="L1" location="'MUC-LUC'!A1" display="« MỤC LỤC" xr:uid="{00000000-0004-0000-0A00-000000000000}"/>
  </hyperlinks>
  <pageMargins left="0.75" right="0.75" top="1" bottom="1" header="0.511811023622047" footer="0.511811023622047"/>
  <pageSetup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27"/>
  <sheetViews>
    <sheetView showGridLines="0" zoomScaleNormal="100" workbookViewId="0">
      <selection activeCell="I7" sqref="I7"/>
    </sheetView>
  </sheetViews>
  <sheetFormatPr defaultColWidth="8.6640625" defaultRowHeight="14.4" x14ac:dyDescent="0.3"/>
  <cols>
    <col min="1" max="1" width="26" style="13" customWidth="1"/>
    <col min="2" max="2" width="16" style="13" customWidth="1"/>
    <col min="3" max="3" width="18" style="13" customWidth="1"/>
    <col min="4" max="4" width="3" style="13" customWidth="1"/>
    <col min="5" max="5" width="24" style="13" customWidth="1"/>
    <col min="6" max="6" width="18" style="13" customWidth="1"/>
  </cols>
  <sheetData>
    <row r="1" spans="1:6" ht="27.75" customHeight="1" x14ac:dyDescent="0.3">
      <c r="A1" s="111" t="s">
        <v>407</v>
      </c>
      <c r="B1" s="111"/>
      <c r="C1" s="111"/>
      <c r="D1" s="14"/>
      <c r="E1" s="11" t="s">
        <v>1</v>
      </c>
      <c r="F1" s="11"/>
    </row>
    <row r="2" spans="1:6" ht="24" customHeight="1" x14ac:dyDescent="0.3">
      <c r="A2" s="95" t="s">
        <v>408</v>
      </c>
      <c r="B2" s="95"/>
      <c r="C2" s="95"/>
      <c r="D2" s="95"/>
      <c r="E2" s="95"/>
      <c r="F2" s="95"/>
    </row>
    <row r="3" spans="1:6" ht="15" customHeight="1" x14ac:dyDescent="0.3">
      <c r="A3" s="14"/>
      <c r="B3" s="14"/>
      <c r="C3" s="14"/>
      <c r="D3" s="14"/>
      <c r="E3" s="14"/>
      <c r="F3" s="14"/>
    </row>
    <row r="4" spans="1:6" ht="21.75" customHeight="1" x14ac:dyDescent="0.3">
      <c r="A4" s="9" t="s">
        <v>409</v>
      </c>
      <c r="B4" s="9"/>
      <c r="C4" s="9"/>
      <c r="D4" s="14"/>
      <c r="E4" s="9" t="s">
        <v>410</v>
      </c>
      <c r="F4" s="9"/>
    </row>
    <row r="5" spans="1:6" ht="25.5" customHeight="1" x14ac:dyDescent="0.3">
      <c r="A5" s="128" t="s">
        <v>411</v>
      </c>
      <c r="B5" s="128"/>
      <c r="C5" s="81">
        <f>SUMIF('DON-HANG'!$O$5:$O$1000,"Chưa thu",'DON-HANG'!$G$5:$G$1000)+SUMIF('DON-HANG'!$O$5:$O$1000,"COD",'DON-HANG'!$G$5:$G$1000)</f>
        <v>1410000</v>
      </c>
      <c r="D5" s="14"/>
      <c r="E5" s="82" t="s">
        <v>412</v>
      </c>
      <c r="F5" s="83">
        <f>SUMIF('CHI-PHI'!$I$5:$I$18,"Chưa trả",'CHI-PHI'!$F$5:$F$18)+SUMIF('CHI-PHI'!$H$23:$H$40,"Chưa trả",'CHI-PHI'!$E$23:$E$40)+SUMIF('NHAP-HANG'!$G$4:$G$43,"Chưa trả",'NHAP-HANG'!$E$4:$E$43)</f>
        <v>180000</v>
      </c>
    </row>
    <row r="6" spans="1:6" ht="15" customHeight="1" x14ac:dyDescent="0.3">
      <c r="A6" s="14"/>
      <c r="B6" s="14"/>
      <c r="C6" s="14"/>
      <c r="D6" s="14"/>
      <c r="E6" s="14"/>
      <c r="F6" s="14"/>
    </row>
    <row r="7" spans="1:6" ht="21.75" customHeight="1" x14ac:dyDescent="0.3">
      <c r="A7" s="25" t="s">
        <v>289</v>
      </c>
      <c r="B7" s="25" t="s">
        <v>413</v>
      </c>
      <c r="C7" s="25" t="s">
        <v>414</v>
      </c>
      <c r="D7" s="14"/>
      <c r="E7" s="25" t="s">
        <v>415</v>
      </c>
      <c r="F7" s="25" t="s">
        <v>416</v>
      </c>
    </row>
    <row r="8" spans="1:6" ht="19.5" customHeight="1" x14ac:dyDescent="0.3">
      <c r="A8" s="84" t="str">
        <f>IF('K-HANG'!$B$4="","",'K-HANG'!$B$4)</f>
        <v>Shop Thời Trang Mây</v>
      </c>
      <c r="B8" s="85">
        <f>IF(A8="","",COUNTIFS('DON-HANG'!$C$5:$C$1000,A8,'DON-HANG'!$O$5:$O$1000,"Chưa thu")+COUNTIFS('DON-HANG'!$C$5:$C$1000,A8,'DON-HANG'!$O$5:$O$1000,"COD"))</f>
        <v>0</v>
      </c>
      <c r="C8" s="69">
        <f>IF(A8="","",SUMIFS('DON-HANG'!$G$5:$G$1000,'DON-HANG'!$C$5:$C$1000,A8,'DON-HANG'!$O$5:$O$1000,"Chưa thu")+SUMIFS('DON-HANG'!$G$5:$G$1000,'DON-HANG'!$C$5:$C$1000,A8,'DON-HANG'!$O$5:$O$1000,"COD"))</f>
        <v>0</v>
      </c>
      <c r="D8" s="14"/>
      <c r="E8" s="79" t="s">
        <v>417</v>
      </c>
      <c r="F8" s="69">
        <f>SUMIF('CHI-PHI'!$I$5:$I$18,"Chưa trả",'CHI-PHI'!$F$5:$F$18)</f>
        <v>0</v>
      </c>
    </row>
    <row r="9" spans="1:6" ht="19.5" customHeight="1" x14ac:dyDescent="0.3">
      <c r="A9" s="86" t="str">
        <f>IF('K-HANG'!$B$5="","",'K-HANG'!$B$5)</f>
        <v>Tạp Hóa Bình Minh</v>
      </c>
      <c r="B9" s="87">
        <f>IF(A9="","",COUNTIFS('DON-HANG'!$C$5:$C$1000,A9,'DON-HANG'!$O$5:$O$1000,"Chưa thu")+COUNTIFS('DON-HANG'!$C$5:$C$1000,A9,'DON-HANG'!$O$5:$O$1000,"COD"))</f>
        <v>1</v>
      </c>
      <c r="C9" s="74">
        <f>IF(A9="","",SUMIFS('DON-HANG'!$G$5:$G$1000,'DON-HANG'!$C$5:$C$1000,A9,'DON-HANG'!$O$5:$O$1000,"Chưa thu")+SUMIFS('DON-HANG'!$G$5:$G$1000,'DON-HANG'!$C$5:$C$1000,A9,'DON-HANG'!$O$5:$O$1000,"COD"))</f>
        <v>1410000</v>
      </c>
      <c r="D9" s="14"/>
      <c r="E9" s="80" t="s">
        <v>418</v>
      </c>
      <c r="F9" s="74">
        <f>SUMIF('CHI-PHI'!$H$23:$H$40,"Chưa trả",'CHI-PHI'!$E$23:$E$40)</f>
        <v>0</v>
      </c>
    </row>
    <row r="10" spans="1:6" ht="14.25" customHeight="1" x14ac:dyDescent="0.3">
      <c r="A10" s="84" t="str">
        <f>IF('K-HANG'!$B$6="","",'K-HANG'!$B$6)</f>
        <v>Quán Cà Phê Góc Phố</v>
      </c>
      <c r="B10" s="85">
        <f>IF(A10="","",COUNTIFS('DON-HANG'!$C$5:$C$1000,A10,'DON-HANG'!$O$5:$O$1000,"Chưa thu")+COUNTIFS('DON-HANG'!$C$5:$C$1000,A10,'DON-HANG'!$O$5:$O$1000,"COD"))</f>
        <v>0</v>
      </c>
      <c r="C10" s="69">
        <f>IF(A10="","",SUMIFS('DON-HANG'!$G$5:$G$1000,'DON-HANG'!$C$5:$C$1000,A10,'DON-HANG'!$O$5:$O$1000,"Chưa thu")+SUMIFS('DON-HANG'!$G$5:$G$1000,'DON-HANG'!$C$5:$C$1000,A10,'DON-HANG'!$O$5:$O$1000,"COD"))</f>
        <v>0</v>
      </c>
      <c r="D10" s="14"/>
      <c r="E10" s="79" t="s">
        <v>419</v>
      </c>
      <c r="F10" s="69">
        <f>SUMIF('NHAP-HANG'!$G$4:$G$43,"Chưa trả",'NHAP-HANG'!$E$4:$E$43)</f>
        <v>180000</v>
      </c>
    </row>
    <row r="11" spans="1:6" ht="27" customHeight="1" x14ac:dyDescent="0.3">
      <c r="A11" s="86" t="str">
        <f>IF('K-HANG'!$B$7="","",'K-HANG'!$B$7)</f>
        <v/>
      </c>
      <c r="B11" s="87" t="str">
        <f>IF(A11="","",COUNTIFS('DON-HANG'!$C$5:$C$1000,A11,'DON-HANG'!$O$5:$O$1000,"Chưa thu")+COUNTIFS('DON-HANG'!$C$5:$C$1000,A11,'DON-HANG'!$O$5:$O$1000,"COD"))</f>
        <v/>
      </c>
      <c r="C11" s="74" t="str">
        <f>IF(A11="","",SUMIFS('DON-HANG'!$G$5:$G$1000,'DON-HANG'!$C$5:$C$1000,A11,'DON-HANG'!$O$5:$O$1000,"Chưa thu")+SUMIFS('DON-HANG'!$G$5:$G$1000,'DON-HANG'!$C$5:$C$1000,A11,'DON-HANG'!$O$5:$O$1000,"COD"))</f>
        <v/>
      </c>
      <c r="D11" s="14"/>
      <c r="E11" s="15" t="s">
        <v>420</v>
      </c>
      <c r="F11" s="14"/>
    </row>
    <row r="12" spans="1:6" ht="19.5" customHeight="1" x14ac:dyDescent="0.3">
      <c r="A12" s="84" t="str">
        <f>IF('K-HANG'!$B$8="","",'K-HANG'!$B$8)</f>
        <v/>
      </c>
      <c r="B12" s="85" t="str">
        <f>IF(A12="","",COUNTIFS('DON-HANG'!$C$5:$C$1000,A12,'DON-HANG'!$O$5:$O$1000,"Chưa thu")+COUNTIFS('DON-HANG'!$C$5:$C$1000,A12,'DON-HANG'!$O$5:$O$1000,"COD"))</f>
        <v/>
      </c>
      <c r="C12" s="69" t="str">
        <f>IF(A12="","",SUMIFS('DON-HANG'!$G$5:$G$1000,'DON-HANG'!$C$5:$C$1000,A12,'DON-HANG'!$O$5:$O$1000,"Chưa thu")+SUMIFS('DON-HANG'!$G$5:$G$1000,'DON-HANG'!$C$5:$C$1000,A12,'DON-HANG'!$O$5:$O$1000,"COD"))</f>
        <v/>
      </c>
      <c r="D12" s="14"/>
      <c r="E12" s="76" t="s">
        <v>421</v>
      </c>
      <c r="F12" s="88">
        <f>C5-F5</f>
        <v>1230000</v>
      </c>
    </row>
    <row r="13" spans="1:6" ht="19.5" customHeight="1" x14ac:dyDescent="0.3">
      <c r="A13" s="86" t="str">
        <f>IF('K-HANG'!$B$9="","",'K-HANG'!$B$9)</f>
        <v/>
      </c>
      <c r="B13" s="87" t="str">
        <f>IF(A13="","",COUNTIFS('DON-HANG'!$C$5:$C$1000,A13,'DON-HANG'!$O$5:$O$1000,"Chưa thu")+COUNTIFS('DON-HANG'!$C$5:$C$1000,A13,'DON-HANG'!$O$5:$O$1000,"COD"))</f>
        <v/>
      </c>
      <c r="C13" s="74" t="str">
        <f>IF(A13="","",SUMIFS('DON-HANG'!$G$5:$G$1000,'DON-HANG'!$C$5:$C$1000,A13,'DON-HANG'!$O$5:$O$1000,"Chưa thu")+SUMIFS('DON-HANG'!$G$5:$G$1000,'DON-HANG'!$C$5:$C$1000,A13,'DON-HANG'!$O$5:$O$1000,"COD"))</f>
        <v/>
      </c>
      <c r="D13" s="14"/>
      <c r="E13" s="14"/>
      <c r="F13" s="14"/>
    </row>
    <row r="14" spans="1:6" ht="19.5" customHeight="1" x14ac:dyDescent="0.3">
      <c r="A14" s="84" t="str">
        <f>IF('K-HANG'!$B$10="","",'K-HANG'!$B$10)</f>
        <v/>
      </c>
      <c r="B14" s="85" t="str">
        <f>IF(A14="","",COUNTIFS('DON-HANG'!$C$5:$C$1000,A14,'DON-HANG'!$O$5:$O$1000,"Chưa thu")+COUNTIFS('DON-HANG'!$C$5:$C$1000,A14,'DON-HANG'!$O$5:$O$1000,"COD"))</f>
        <v/>
      </c>
      <c r="C14" s="69" t="str">
        <f>IF(A14="","",SUMIFS('DON-HANG'!$G$5:$G$1000,'DON-HANG'!$C$5:$C$1000,A14,'DON-HANG'!$O$5:$O$1000,"Chưa thu")+SUMIFS('DON-HANG'!$G$5:$G$1000,'DON-HANG'!$C$5:$C$1000,A14,'DON-HANG'!$O$5:$O$1000,"COD"))</f>
        <v/>
      </c>
      <c r="D14" s="14"/>
      <c r="E14" s="14"/>
      <c r="F14" s="14"/>
    </row>
    <row r="15" spans="1:6" ht="19.5" customHeight="1" x14ac:dyDescent="0.3">
      <c r="A15" s="86" t="str">
        <f>IF('K-HANG'!$B$11="","",'K-HANG'!$B$11)</f>
        <v/>
      </c>
      <c r="B15" s="87" t="str">
        <f>IF(A15="","",COUNTIFS('DON-HANG'!$C$5:$C$1000,A15,'DON-HANG'!$O$5:$O$1000,"Chưa thu")+COUNTIFS('DON-HANG'!$C$5:$C$1000,A15,'DON-HANG'!$O$5:$O$1000,"COD"))</f>
        <v/>
      </c>
      <c r="C15" s="74" t="str">
        <f>IF(A15="","",SUMIFS('DON-HANG'!$G$5:$G$1000,'DON-HANG'!$C$5:$C$1000,A15,'DON-HANG'!$O$5:$O$1000,"Chưa thu")+SUMIFS('DON-HANG'!$G$5:$G$1000,'DON-HANG'!$C$5:$C$1000,A15,'DON-HANG'!$O$5:$O$1000,"COD"))</f>
        <v/>
      </c>
      <c r="D15" s="14"/>
      <c r="E15" s="14"/>
      <c r="F15" s="14"/>
    </row>
    <row r="16" spans="1:6" ht="19.5" customHeight="1" x14ac:dyDescent="0.3">
      <c r="A16" s="84" t="str">
        <f>IF('K-HANG'!$B$12="","",'K-HANG'!$B$12)</f>
        <v/>
      </c>
      <c r="B16" s="85" t="str">
        <f>IF(A16="","",COUNTIFS('DON-HANG'!$C$5:$C$1000,A16,'DON-HANG'!$O$5:$O$1000,"Chưa thu")+COUNTIFS('DON-HANG'!$C$5:$C$1000,A16,'DON-HANG'!$O$5:$O$1000,"COD"))</f>
        <v/>
      </c>
      <c r="C16" s="69" t="str">
        <f>IF(A16="","",SUMIFS('DON-HANG'!$G$5:$G$1000,'DON-HANG'!$C$5:$C$1000,A16,'DON-HANG'!$O$5:$O$1000,"Chưa thu")+SUMIFS('DON-HANG'!$G$5:$G$1000,'DON-HANG'!$C$5:$C$1000,A16,'DON-HANG'!$O$5:$O$1000,"COD"))</f>
        <v/>
      </c>
      <c r="D16" s="14"/>
      <c r="E16" s="14"/>
      <c r="F16" s="14"/>
    </row>
    <row r="17" spans="1:6" ht="19.5" customHeight="1" x14ac:dyDescent="0.3">
      <c r="A17" s="86" t="str">
        <f>IF('K-HANG'!$B$13="","",'K-HANG'!$B$13)</f>
        <v/>
      </c>
      <c r="B17" s="87" t="str">
        <f>IF(A17="","",COUNTIFS('DON-HANG'!$C$5:$C$1000,A17,'DON-HANG'!$O$5:$O$1000,"Chưa thu")+COUNTIFS('DON-HANG'!$C$5:$C$1000,A17,'DON-HANG'!$O$5:$O$1000,"COD"))</f>
        <v/>
      </c>
      <c r="C17" s="74" t="str">
        <f>IF(A17="","",SUMIFS('DON-HANG'!$G$5:$G$1000,'DON-HANG'!$C$5:$C$1000,A17,'DON-HANG'!$O$5:$O$1000,"Chưa thu")+SUMIFS('DON-HANG'!$G$5:$G$1000,'DON-HANG'!$C$5:$C$1000,A17,'DON-HANG'!$O$5:$O$1000,"COD"))</f>
        <v/>
      </c>
      <c r="D17" s="14"/>
      <c r="E17" s="14"/>
      <c r="F17" s="14"/>
    </row>
    <row r="18" spans="1:6" ht="19.5" customHeight="1" x14ac:dyDescent="0.3">
      <c r="A18" s="84" t="str">
        <f>IF('K-HANG'!$B$14="","",'K-HANG'!$B$14)</f>
        <v/>
      </c>
      <c r="B18" s="85" t="str">
        <f>IF(A18="","",COUNTIFS('DON-HANG'!$C$5:$C$1000,A18,'DON-HANG'!$O$5:$O$1000,"Chưa thu")+COUNTIFS('DON-HANG'!$C$5:$C$1000,A18,'DON-HANG'!$O$5:$O$1000,"COD"))</f>
        <v/>
      </c>
      <c r="C18" s="69" t="str">
        <f>IF(A18="","",SUMIFS('DON-HANG'!$G$5:$G$1000,'DON-HANG'!$C$5:$C$1000,A18,'DON-HANG'!$O$5:$O$1000,"Chưa thu")+SUMIFS('DON-HANG'!$G$5:$G$1000,'DON-HANG'!$C$5:$C$1000,A18,'DON-HANG'!$O$5:$O$1000,"COD"))</f>
        <v/>
      </c>
      <c r="D18" s="14"/>
      <c r="E18" s="14"/>
      <c r="F18" s="14"/>
    </row>
    <row r="19" spans="1:6" ht="19.5" customHeight="1" x14ac:dyDescent="0.3">
      <c r="A19" s="86" t="str">
        <f>IF('K-HANG'!$B$15="","",'K-HANG'!$B$15)</f>
        <v/>
      </c>
      <c r="B19" s="87" t="str">
        <f>IF(A19="","",COUNTIFS('DON-HANG'!$C$5:$C$1000,A19,'DON-HANG'!$O$5:$O$1000,"Chưa thu")+COUNTIFS('DON-HANG'!$C$5:$C$1000,A19,'DON-HANG'!$O$5:$O$1000,"COD"))</f>
        <v/>
      </c>
      <c r="C19" s="74" t="str">
        <f>IF(A19="","",SUMIFS('DON-HANG'!$G$5:$G$1000,'DON-HANG'!$C$5:$C$1000,A19,'DON-HANG'!$O$5:$O$1000,"Chưa thu")+SUMIFS('DON-HANG'!$G$5:$G$1000,'DON-HANG'!$C$5:$C$1000,A19,'DON-HANG'!$O$5:$O$1000,"COD"))</f>
        <v/>
      </c>
      <c r="D19" s="14"/>
      <c r="E19" s="14"/>
      <c r="F19" s="14"/>
    </row>
    <row r="20" spans="1:6" ht="19.5" customHeight="1" x14ac:dyDescent="0.3">
      <c r="A20" s="84" t="str">
        <f>IF('K-HANG'!$B$16="","",'K-HANG'!$B$16)</f>
        <v/>
      </c>
      <c r="B20" s="85" t="str">
        <f>IF(A20="","",COUNTIFS('DON-HANG'!$C$5:$C$1000,A20,'DON-HANG'!$O$5:$O$1000,"Chưa thu")+COUNTIFS('DON-HANG'!$C$5:$C$1000,A20,'DON-HANG'!$O$5:$O$1000,"COD"))</f>
        <v/>
      </c>
      <c r="C20" s="69" t="str">
        <f>IF(A20="","",SUMIFS('DON-HANG'!$G$5:$G$1000,'DON-HANG'!$C$5:$C$1000,A20,'DON-HANG'!$O$5:$O$1000,"Chưa thu")+SUMIFS('DON-HANG'!$G$5:$G$1000,'DON-HANG'!$C$5:$C$1000,A20,'DON-HANG'!$O$5:$O$1000,"COD"))</f>
        <v/>
      </c>
      <c r="D20" s="14"/>
      <c r="E20" s="14"/>
      <c r="F20" s="14"/>
    </row>
    <row r="21" spans="1:6" ht="19.5" customHeight="1" x14ac:dyDescent="0.3">
      <c r="A21" s="86" t="str">
        <f>IF('K-HANG'!$B$17="","",'K-HANG'!$B$17)</f>
        <v/>
      </c>
      <c r="B21" s="87" t="str">
        <f>IF(A21="","",COUNTIFS('DON-HANG'!$C$5:$C$1000,A21,'DON-HANG'!$O$5:$O$1000,"Chưa thu")+COUNTIFS('DON-HANG'!$C$5:$C$1000,A21,'DON-HANG'!$O$5:$O$1000,"COD"))</f>
        <v/>
      </c>
      <c r="C21" s="74" t="str">
        <f>IF(A21="","",SUMIFS('DON-HANG'!$G$5:$G$1000,'DON-HANG'!$C$5:$C$1000,A21,'DON-HANG'!$O$5:$O$1000,"Chưa thu")+SUMIFS('DON-HANG'!$G$5:$G$1000,'DON-HANG'!$C$5:$C$1000,A21,'DON-HANG'!$O$5:$O$1000,"COD"))</f>
        <v/>
      </c>
      <c r="D21" s="14"/>
      <c r="E21" s="14"/>
      <c r="F21" s="14"/>
    </row>
    <row r="22" spans="1:6" ht="19.5" customHeight="1" x14ac:dyDescent="0.3">
      <c r="A22" s="84" t="str">
        <f>IF('K-HANG'!$B$18="","",'K-HANG'!$B$18)</f>
        <v/>
      </c>
      <c r="B22" s="85" t="str">
        <f>IF(A22="","",COUNTIFS('DON-HANG'!$C$5:$C$1000,A22,'DON-HANG'!$O$5:$O$1000,"Chưa thu")+COUNTIFS('DON-HANG'!$C$5:$C$1000,A22,'DON-HANG'!$O$5:$O$1000,"COD"))</f>
        <v/>
      </c>
      <c r="C22" s="69" t="str">
        <f>IF(A22="","",SUMIFS('DON-HANG'!$G$5:$G$1000,'DON-HANG'!$C$5:$C$1000,A22,'DON-HANG'!$O$5:$O$1000,"Chưa thu")+SUMIFS('DON-HANG'!$G$5:$G$1000,'DON-HANG'!$C$5:$C$1000,A22,'DON-HANG'!$O$5:$O$1000,"COD"))</f>
        <v/>
      </c>
      <c r="D22" s="14"/>
      <c r="E22" s="14"/>
      <c r="F22" s="14"/>
    </row>
    <row r="23" spans="1:6" ht="19.5" customHeight="1" x14ac:dyDescent="0.3">
      <c r="A23" s="86" t="str">
        <f>IF('K-HANG'!$B$19="","",'K-HANG'!$B$19)</f>
        <v/>
      </c>
      <c r="B23" s="87" t="str">
        <f>IF(A23="","",COUNTIFS('DON-HANG'!$C$5:$C$1000,A23,'DON-HANG'!$O$5:$O$1000,"Chưa thu")+COUNTIFS('DON-HANG'!$C$5:$C$1000,A23,'DON-HANG'!$O$5:$O$1000,"COD"))</f>
        <v/>
      </c>
      <c r="C23" s="74" t="str">
        <f>IF(A23="","",SUMIFS('DON-HANG'!$G$5:$G$1000,'DON-HANG'!$C$5:$C$1000,A23,'DON-HANG'!$O$5:$O$1000,"Chưa thu")+SUMIFS('DON-HANG'!$G$5:$G$1000,'DON-HANG'!$C$5:$C$1000,A23,'DON-HANG'!$O$5:$O$1000,"COD"))</f>
        <v/>
      </c>
      <c r="D23" s="14"/>
      <c r="E23" s="14"/>
      <c r="F23" s="14"/>
    </row>
    <row r="24" spans="1:6" ht="19.5" customHeight="1" x14ac:dyDescent="0.3">
      <c r="A24" s="84" t="str">
        <f>IF('K-HANG'!$B$20="","",'K-HANG'!$B$20)</f>
        <v/>
      </c>
      <c r="B24" s="85" t="str">
        <f>IF(A24="","",COUNTIFS('DON-HANG'!$C$5:$C$1000,A24,'DON-HANG'!$O$5:$O$1000,"Chưa thu")+COUNTIFS('DON-HANG'!$C$5:$C$1000,A24,'DON-HANG'!$O$5:$O$1000,"COD"))</f>
        <v/>
      </c>
      <c r="C24" s="69" t="str">
        <f>IF(A24="","",SUMIFS('DON-HANG'!$G$5:$G$1000,'DON-HANG'!$C$5:$C$1000,A24,'DON-HANG'!$O$5:$O$1000,"Chưa thu")+SUMIFS('DON-HANG'!$G$5:$G$1000,'DON-HANG'!$C$5:$C$1000,A24,'DON-HANG'!$O$5:$O$1000,"COD"))</f>
        <v/>
      </c>
      <c r="D24" s="14"/>
      <c r="E24" s="14"/>
      <c r="F24" s="14"/>
    </row>
    <row r="25" spans="1:6" ht="19.5" customHeight="1" x14ac:dyDescent="0.3">
      <c r="A25" s="86" t="str">
        <f>IF('K-HANG'!$B$21="","",'K-HANG'!$B$21)</f>
        <v/>
      </c>
      <c r="B25" s="87" t="str">
        <f>IF(A25="","",COUNTIFS('DON-HANG'!$C$5:$C$1000,A25,'DON-HANG'!$O$5:$O$1000,"Chưa thu")+COUNTIFS('DON-HANG'!$C$5:$C$1000,A25,'DON-HANG'!$O$5:$O$1000,"COD"))</f>
        <v/>
      </c>
      <c r="C25" s="74" t="str">
        <f>IF(A25="","",SUMIFS('DON-HANG'!$G$5:$G$1000,'DON-HANG'!$C$5:$C$1000,A25,'DON-HANG'!$O$5:$O$1000,"Chưa thu")+SUMIFS('DON-HANG'!$G$5:$G$1000,'DON-HANG'!$C$5:$C$1000,A25,'DON-HANG'!$O$5:$O$1000,"COD"))</f>
        <v/>
      </c>
      <c r="D25" s="14"/>
      <c r="E25" s="14"/>
      <c r="F25" s="14"/>
    </row>
    <row r="26" spans="1:6" ht="19.5" customHeight="1" x14ac:dyDescent="0.3">
      <c r="A26" s="84" t="str">
        <f>IF('K-HANG'!$B$22="","",'K-HANG'!$B$22)</f>
        <v/>
      </c>
      <c r="B26" s="85" t="str">
        <f>IF(A26="","",COUNTIFS('DON-HANG'!$C$5:$C$1000,A26,'DON-HANG'!$O$5:$O$1000,"Chưa thu")+COUNTIFS('DON-HANG'!$C$5:$C$1000,A26,'DON-HANG'!$O$5:$O$1000,"COD"))</f>
        <v/>
      </c>
      <c r="C26" s="69" t="str">
        <f>IF(A26="","",SUMIFS('DON-HANG'!$G$5:$G$1000,'DON-HANG'!$C$5:$C$1000,A26,'DON-HANG'!$O$5:$O$1000,"Chưa thu")+SUMIFS('DON-HANG'!$G$5:$G$1000,'DON-HANG'!$C$5:$C$1000,A26,'DON-HANG'!$O$5:$O$1000,"COD"))</f>
        <v/>
      </c>
      <c r="D26" s="14"/>
      <c r="E26" s="14"/>
      <c r="F26" s="14"/>
    </row>
    <row r="27" spans="1:6" ht="19.5" customHeight="1" x14ac:dyDescent="0.3">
      <c r="A27" s="86" t="str">
        <f>IF('K-HANG'!$B$23="","",'K-HANG'!$B$23)</f>
        <v/>
      </c>
      <c r="B27" s="87" t="str">
        <f>IF(A27="","",COUNTIFS('DON-HANG'!$C$5:$C$1000,A27,'DON-HANG'!$O$5:$O$1000,"Chưa thu")+COUNTIFS('DON-HANG'!$C$5:$C$1000,A27,'DON-HANG'!$O$5:$O$1000,"COD"))</f>
        <v/>
      </c>
      <c r="C27" s="74" t="str">
        <f>IF(A27="","",SUMIFS('DON-HANG'!$G$5:$G$1000,'DON-HANG'!$C$5:$C$1000,A27,'DON-HANG'!$O$5:$O$1000,"Chưa thu")+SUMIFS('DON-HANG'!$G$5:$G$1000,'DON-HANG'!$C$5:$C$1000,A27,'DON-HANG'!$O$5:$O$1000,"COD"))</f>
        <v/>
      </c>
      <c r="D27" s="14"/>
      <c r="E27" s="14"/>
      <c r="F27" s="14"/>
    </row>
  </sheetData>
  <sheetProtection sheet="1" formatCells="0" formatColumns="0" formatRows="0" insertColumns="0" insertRows="0" deleteColumns="0" deleteRows="0" sort="0" autoFilter="0"/>
  <mergeCells count="6">
    <mergeCell ref="A5:B5"/>
    <mergeCell ref="A1:C1"/>
    <mergeCell ref="E1:F1"/>
    <mergeCell ref="A2:F2"/>
    <mergeCell ref="A4:C4"/>
    <mergeCell ref="E4:F4"/>
  </mergeCells>
  <hyperlinks>
    <hyperlink ref="E1" location="'MUC-LUC'!A1" display="« MỤC LỤC" xr:uid="{00000000-0004-0000-0B00-000000000000}"/>
  </hyperlinks>
  <pageMargins left="0.75" right="0.75" top="1" bottom="1" header="0.511811023622047" footer="0.511811023622047"/>
  <pageSetup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18"/>
  <sheetViews>
    <sheetView showGridLines="0" zoomScaleNormal="100" workbookViewId="0">
      <selection activeCell="B3" sqref="B3"/>
    </sheetView>
  </sheetViews>
  <sheetFormatPr defaultColWidth="8.6640625" defaultRowHeight="14.4" x14ac:dyDescent="0.3"/>
  <cols>
    <col min="1" max="1" width="12" style="13" customWidth="1"/>
    <col min="2" max="3" width="16" style="13" customWidth="1"/>
    <col min="4" max="4" width="11" style="13" customWidth="1"/>
    <col min="5" max="5" width="16" style="13" customWidth="1"/>
  </cols>
  <sheetData>
    <row r="1" spans="1:5" ht="27.75" customHeight="1" x14ac:dyDescent="0.3">
      <c r="A1" s="129" t="s">
        <v>422</v>
      </c>
      <c r="B1" s="129"/>
      <c r="C1" s="129"/>
      <c r="D1" s="11" t="s">
        <v>1</v>
      </c>
      <c r="E1" s="11"/>
    </row>
    <row r="2" spans="1:5" ht="24" customHeight="1" x14ac:dyDescent="0.3">
      <c r="A2" s="95" t="s">
        <v>423</v>
      </c>
      <c r="B2" s="95"/>
      <c r="C2" s="95"/>
      <c r="D2" s="95"/>
      <c r="E2" s="95"/>
    </row>
    <row r="3" spans="1:5" ht="15" customHeight="1" x14ac:dyDescent="0.3">
      <c r="A3" s="64" t="s">
        <v>137</v>
      </c>
      <c r="B3" s="65">
        <v>2026</v>
      </c>
      <c r="C3" s="14"/>
      <c r="D3" s="14"/>
      <c r="E3" s="14"/>
    </row>
    <row r="4" spans="1:5" ht="15" customHeight="1" x14ac:dyDescent="0.3">
      <c r="A4" s="14"/>
      <c r="B4" s="14"/>
      <c r="C4" s="14"/>
      <c r="D4" s="14"/>
      <c r="E4" s="14"/>
    </row>
    <row r="5" spans="1:5" ht="24" customHeight="1" x14ac:dyDescent="0.3">
      <c r="A5" s="25" t="s">
        <v>342</v>
      </c>
      <c r="B5" s="25" t="s">
        <v>424</v>
      </c>
      <c r="C5" s="25" t="s">
        <v>425</v>
      </c>
      <c r="D5" s="25" t="s">
        <v>426</v>
      </c>
      <c r="E5" s="25" t="s">
        <v>427</v>
      </c>
    </row>
    <row r="6" spans="1:5" ht="19.5" customHeight="1" x14ac:dyDescent="0.3">
      <c r="A6" s="66" t="s">
        <v>390</v>
      </c>
      <c r="B6" s="50"/>
      <c r="C6" s="89">
        <f>SUMPRODUCT((MONTH('DON-HANG'!$B$5:$B$1000)=1)*(YEAR('DON-HANG'!$B$5:$B$1000)=$B$3)*'DON-HANG'!$G$5:$G$1000)</f>
        <v>0</v>
      </c>
      <c r="D6" s="90" t="str">
        <f t="shared" ref="D6:D18" si="0">IF(OR(B6="",B6=0),"",C6/B6)</f>
        <v/>
      </c>
      <c r="E6" s="89" t="str">
        <f t="shared" ref="E6:E17" si="1">IF(B6="","",C6-B6)</f>
        <v/>
      </c>
    </row>
    <row r="7" spans="1:5" ht="19.5" customHeight="1" x14ac:dyDescent="0.3">
      <c r="A7" s="71" t="s">
        <v>391</v>
      </c>
      <c r="B7" s="50"/>
      <c r="C7" s="89">
        <f>SUMPRODUCT((MONTH('DON-HANG'!$B$5:$B$1000)=2)*(YEAR('DON-HANG'!$B$5:$B$1000)=$B$3)*'DON-HANG'!$G$5:$G$1000)</f>
        <v>0</v>
      </c>
      <c r="D7" s="90" t="str">
        <f t="shared" si="0"/>
        <v/>
      </c>
      <c r="E7" s="89" t="str">
        <f t="shared" si="1"/>
        <v/>
      </c>
    </row>
    <row r="8" spans="1:5" ht="19.5" customHeight="1" x14ac:dyDescent="0.3">
      <c r="A8" s="66" t="s">
        <v>392</v>
      </c>
      <c r="B8" s="50"/>
      <c r="C8" s="89">
        <f>SUMPRODUCT((MONTH('DON-HANG'!$B$5:$B$1000)=3)*(YEAR('DON-HANG'!$B$5:$B$1000)=$B$3)*'DON-HANG'!$G$5:$G$1000)</f>
        <v>0</v>
      </c>
      <c r="D8" s="90" t="str">
        <f t="shared" si="0"/>
        <v/>
      </c>
      <c r="E8" s="89" t="str">
        <f t="shared" si="1"/>
        <v/>
      </c>
    </row>
    <row r="9" spans="1:5" ht="19.5" customHeight="1" x14ac:dyDescent="0.3">
      <c r="A9" s="71" t="s">
        <v>393</v>
      </c>
      <c r="B9" s="50"/>
      <c r="C9" s="89">
        <f>SUMPRODUCT((MONTH('DON-HANG'!$B$5:$B$1000)=4)*(YEAR('DON-HANG'!$B$5:$B$1000)=$B$3)*'DON-HANG'!$G$5:$G$1000)</f>
        <v>0</v>
      </c>
      <c r="D9" s="90" t="str">
        <f t="shared" si="0"/>
        <v/>
      </c>
      <c r="E9" s="89" t="str">
        <f t="shared" si="1"/>
        <v/>
      </c>
    </row>
    <row r="10" spans="1:5" ht="19.5" customHeight="1" x14ac:dyDescent="0.3">
      <c r="A10" s="66" t="s">
        <v>394</v>
      </c>
      <c r="B10" s="50"/>
      <c r="C10" s="89">
        <f>SUMPRODUCT((MONTH('DON-HANG'!$B$5:$B$1000)=5)*(YEAR('DON-HANG'!$B$5:$B$1000)=$B$3)*'DON-HANG'!$G$5:$G$1000)</f>
        <v>0</v>
      </c>
      <c r="D10" s="90" t="str">
        <f t="shared" si="0"/>
        <v/>
      </c>
      <c r="E10" s="89" t="str">
        <f t="shared" si="1"/>
        <v/>
      </c>
    </row>
    <row r="11" spans="1:5" ht="19.5" customHeight="1" x14ac:dyDescent="0.3">
      <c r="A11" s="71" t="s">
        <v>395</v>
      </c>
      <c r="B11" s="50">
        <v>5000000</v>
      </c>
      <c r="C11" s="89">
        <f>SUMPRODUCT((MONTH('DON-HANG'!$B$5:$B$1000)=6)*(YEAR('DON-HANG'!$B$5:$B$1000)=$B$3)*'DON-HANG'!$G$5:$G$1000)</f>
        <v>1860000</v>
      </c>
      <c r="D11" s="90">
        <f t="shared" si="0"/>
        <v>0.372</v>
      </c>
      <c r="E11" s="89">
        <f t="shared" si="1"/>
        <v>-3140000</v>
      </c>
    </row>
    <row r="12" spans="1:5" ht="19.5" customHeight="1" x14ac:dyDescent="0.3">
      <c r="A12" s="66" t="s">
        <v>396</v>
      </c>
      <c r="B12" s="50"/>
      <c r="C12" s="89">
        <f>SUMPRODUCT((MONTH('DON-HANG'!$B$5:$B$1000)=7)*(YEAR('DON-HANG'!$B$5:$B$1000)=$B$3)*'DON-HANG'!$G$5:$G$1000)</f>
        <v>0</v>
      </c>
      <c r="D12" s="90" t="str">
        <f t="shared" si="0"/>
        <v/>
      </c>
      <c r="E12" s="89" t="str">
        <f t="shared" si="1"/>
        <v/>
      </c>
    </row>
    <row r="13" spans="1:5" ht="19.5" customHeight="1" x14ac:dyDescent="0.3">
      <c r="A13" s="71" t="s">
        <v>397</v>
      </c>
      <c r="B13" s="50"/>
      <c r="C13" s="89">
        <f>SUMPRODUCT((MONTH('DON-HANG'!$B$5:$B$1000)=8)*(YEAR('DON-HANG'!$B$5:$B$1000)=$B$3)*'DON-HANG'!$G$5:$G$1000)</f>
        <v>0</v>
      </c>
      <c r="D13" s="90" t="str">
        <f t="shared" si="0"/>
        <v/>
      </c>
      <c r="E13" s="89" t="str">
        <f t="shared" si="1"/>
        <v/>
      </c>
    </row>
    <row r="14" spans="1:5" ht="19.5" customHeight="1" x14ac:dyDescent="0.3">
      <c r="A14" s="66" t="s">
        <v>398</v>
      </c>
      <c r="B14" s="50"/>
      <c r="C14" s="89">
        <f>SUMPRODUCT((MONTH('DON-HANG'!$B$5:$B$1000)=9)*(YEAR('DON-HANG'!$B$5:$B$1000)=$B$3)*'DON-HANG'!$G$5:$G$1000)</f>
        <v>0</v>
      </c>
      <c r="D14" s="90" t="str">
        <f t="shared" si="0"/>
        <v/>
      </c>
      <c r="E14" s="89" t="str">
        <f t="shared" si="1"/>
        <v/>
      </c>
    </row>
    <row r="15" spans="1:5" ht="19.5" customHeight="1" x14ac:dyDescent="0.3">
      <c r="A15" s="71" t="s">
        <v>399</v>
      </c>
      <c r="B15" s="50"/>
      <c r="C15" s="89">
        <f>SUMPRODUCT((MONTH('DON-HANG'!$B$5:$B$1000)=10)*(YEAR('DON-HANG'!$B$5:$B$1000)=$B$3)*'DON-HANG'!$G$5:$G$1000)</f>
        <v>0</v>
      </c>
      <c r="D15" s="90" t="str">
        <f t="shared" si="0"/>
        <v/>
      </c>
      <c r="E15" s="89" t="str">
        <f t="shared" si="1"/>
        <v/>
      </c>
    </row>
    <row r="16" spans="1:5" ht="19.5" customHeight="1" x14ac:dyDescent="0.3">
      <c r="A16" s="66" t="s">
        <v>400</v>
      </c>
      <c r="B16" s="50"/>
      <c r="C16" s="89">
        <f>SUMPRODUCT((MONTH('DON-HANG'!$B$5:$B$1000)=11)*(YEAR('DON-HANG'!$B$5:$B$1000)=$B$3)*'DON-HANG'!$G$5:$G$1000)</f>
        <v>0</v>
      </c>
      <c r="D16" s="90" t="str">
        <f t="shared" si="0"/>
        <v/>
      </c>
      <c r="E16" s="89" t="str">
        <f t="shared" si="1"/>
        <v/>
      </c>
    </row>
    <row r="17" spans="1:5" ht="19.5" customHeight="1" x14ac:dyDescent="0.3">
      <c r="A17" s="71" t="s">
        <v>401</v>
      </c>
      <c r="B17" s="50"/>
      <c r="C17" s="89">
        <f>SUMPRODUCT((MONTH('DON-HANG'!$B$5:$B$1000)=12)*(YEAR('DON-HANG'!$B$5:$B$1000)=$B$3)*'DON-HANG'!$G$5:$G$1000)</f>
        <v>0</v>
      </c>
      <c r="D17" s="90" t="str">
        <f t="shared" si="0"/>
        <v/>
      </c>
      <c r="E17" s="89" t="str">
        <f t="shared" si="1"/>
        <v/>
      </c>
    </row>
    <row r="18" spans="1:5" ht="15" customHeight="1" x14ac:dyDescent="0.3">
      <c r="A18" s="76" t="s">
        <v>402</v>
      </c>
      <c r="B18" s="46">
        <f>SUM(B6:B17)</f>
        <v>5000000</v>
      </c>
      <c r="C18" s="46">
        <f>SUM(C6:C17)</f>
        <v>1860000</v>
      </c>
      <c r="D18" s="53">
        <f t="shared" si="0"/>
        <v>0.372</v>
      </c>
      <c r="E18" s="46">
        <f>C18-B18</f>
        <v>-3140000</v>
      </c>
    </row>
  </sheetData>
  <sheetProtection sheet="1" formatCells="0" formatColumns="0" formatRows="0" insertColumns="0" insertRows="0" deleteColumns="0" deleteRows="0" sort="0" autoFilter="0"/>
  <mergeCells count="3">
    <mergeCell ref="A1:C1"/>
    <mergeCell ref="D1:E1"/>
    <mergeCell ref="A2:E2"/>
  </mergeCells>
  <conditionalFormatting sqref="D6:D17">
    <cfRule type="expression" dxfId="1" priority="2">
      <formula>AND($D6&lt;&gt;"",$D6&gt;=1)</formula>
    </cfRule>
    <cfRule type="expression" dxfId="0" priority="3">
      <formula>AND($D6&lt;&gt;"",$D6&lt;1)</formula>
    </cfRule>
  </conditionalFormatting>
  <dataValidations count="1">
    <dataValidation type="list" sqref="B3" xr:uid="{00000000-0002-0000-0C00-000000000000}">
      <formula1>NAM_LIST</formula1>
      <formula2>0</formula2>
    </dataValidation>
  </dataValidations>
  <hyperlinks>
    <hyperlink ref="D1" location="'MUC-LUC'!A1" display="« MỤC LỤC" xr:uid="{00000000-0004-0000-0C00-000000000000}"/>
  </hyperlinks>
  <pageMargins left="0.75" right="0.75" top="1" bottom="1" header="0.511811023622047" footer="0.511811023622047"/>
  <pageSetup fitToHeight="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0"/>
  <sheetViews>
    <sheetView zoomScaleNormal="100" workbookViewId="0"/>
  </sheetViews>
  <sheetFormatPr defaultColWidth="8.6640625" defaultRowHeight="14.4" x14ac:dyDescent="0.3"/>
  <sheetData>
    <row r="1" spans="1:3" ht="15" customHeight="1" x14ac:dyDescent="0.3">
      <c r="A1" s="13">
        <v>2025</v>
      </c>
      <c r="C1" s="13">
        <f ca="1">MAX(2025,YEAR(TODAY()),IFERROR(YEAR(MAX('DON-HANG'!$B$5:$B$1000)),2025))</f>
        <v>2026</v>
      </c>
    </row>
    <row r="2" spans="1:3" ht="15" customHeight="1" x14ac:dyDescent="0.3">
      <c r="A2" s="13">
        <f t="shared" ref="A2:A20" ca="1" si="0">IF(A1="","",IF(A1&lt;$C$1,A1+1,""))</f>
        <v>2026</v>
      </c>
      <c r="C2" s="13" t="s">
        <v>428</v>
      </c>
    </row>
    <row r="3" spans="1:3" ht="15" customHeight="1" x14ac:dyDescent="0.3">
      <c r="A3" s="13" t="str">
        <f t="shared" ca="1" si="0"/>
        <v/>
      </c>
    </row>
    <row r="4" spans="1:3" ht="15" customHeight="1" x14ac:dyDescent="0.3">
      <c r="A4" s="13" t="str">
        <f t="shared" ca="1" si="0"/>
        <v/>
      </c>
    </row>
    <row r="5" spans="1:3" ht="15" customHeight="1" x14ac:dyDescent="0.3">
      <c r="A5" s="13" t="str">
        <f t="shared" ca="1" si="0"/>
        <v/>
      </c>
    </row>
    <row r="6" spans="1:3" ht="15" customHeight="1" x14ac:dyDescent="0.3">
      <c r="A6" s="13" t="str">
        <f t="shared" ca="1" si="0"/>
        <v/>
      </c>
    </row>
    <row r="7" spans="1:3" ht="15" customHeight="1" x14ac:dyDescent="0.3">
      <c r="A7" s="13" t="str">
        <f t="shared" ca="1" si="0"/>
        <v/>
      </c>
    </row>
    <row r="8" spans="1:3" ht="15" customHeight="1" x14ac:dyDescent="0.3">
      <c r="A8" s="13" t="str">
        <f t="shared" ca="1" si="0"/>
        <v/>
      </c>
    </row>
    <row r="9" spans="1:3" ht="15" customHeight="1" x14ac:dyDescent="0.3">
      <c r="A9" s="13" t="str">
        <f t="shared" ca="1" si="0"/>
        <v/>
      </c>
    </row>
    <row r="10" spans="1:3" ht="15" customHeight="1" x14ac:dyDescent="0.3">
      <c r="A10" s="13" t="str">
        <f t="shared" ca="1" si="0"/>
        <v/>
      </c>
    </row>
    <row r="11" spans="1:3" ht="15" customHeight="1" x14ac:dyDescent="0.3">
      <c r="A11" s="13" t="str">
        <f t="shared" ca="1" si="0"/>
        <v/>
      </c>
    </row>
    <row r="12" spans="1:3" ht="15" customHeight="1" x14ac:dyDescent="0.3">
      <c r="A12" s="13" t="str">
        <f t="shared" ca="1" si="0"/>
        <v/>
      </c>
    </row>
    <row r="13" spans="1:3" ht="15" customHeight="1" x14ac:dyDescent="0.3">
      <c r="A13" s="13" t="str">
        <f t="shared" ca="1" si="0"/>
        <v/>
      </c>
    </row>
    <row r="14" spans="1:3" ht="15" customHeight="1" x14ac:dyDescent="0.3">
      <c r="A14" s="13" t="str">
        <f t="shared" ca="1" si="0"/>
        <v/>
      </c>
    </row>
    <row r="15" spans="1:3" ht="15" customHeight="1" x14ac:dyDescent="0.3">
      <c r="A15" s="13" t="str">
        <f t="shared" ca="1" si="0"/>
        <v/>
      </c>
    </row>
    <row r="16" spans="1:3" ht="15" customHeight="1" x14ac:dyDescent="0.3">
      <c r="A16" s="13" t="str">
        <f t="shared" ca="1" si="0"/>
        <v/>
      </c>
    </row>
    <row r="17" spans="1:1" ht="15" customHeight="1" x14ac:dyDescent="0.3">
      <c r="A17" s="13" t="str">
        <f t="shared" ca="1" si="0"/>
        <v/>
      </c>
    </row>
    <row r="18" spans="1:1" ht="15" customHeight="1" x14ac:dyDescent="0.3">
      <c r="A18" s="13" t="str">
        <f t="shared" ca="1" si="0"/>
        <v/>
      </c>
    </row>
    <row r="19" spans="1:1" ht="15" customHeight="1" x14ac:dyDescent="0.3">
      <c r="A19" s="13" t="str">
        <f t="shared" ca="1" si="0"/>
        <v/>
      </c>
    </row>
    <row r="20" spans="1:1" ht="15" customHeight="1" x14ac:dyDescent="0.3">
      <c r="A20" s="13" t="str">
        <f t="shared" ca="1" si="0"/>
        <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showGridLines="0" zoomScaleNormal="100" workbookViewId="0">
      <selection activeCell="B19" sqref="B19:D19"/>
    </sheetView>
  </sheetViews>
  <sheetFormatPr defaultColWidth="8.6640625" defaultRowHeight="14.4" x14ac:dyDescent="0.3"/>
  <cols>
    <col min="1" max="1" width="3" style="13" customWidth="1"/>
    <col min="2" max="10" width="12" style="13" customWidth="1"/>
    <col min="11" max="11" width="3" style="13" customWidth="1"/>
  </cols>
  <sheetData>
    <row r="1" spans="1:10" ht="31.5" customHeight="1" x14ac:dyDescent="0.3">
      <c r="A1" s="14"/>
      <c r="B1" s="7" t="s">
        <v>113</v>
      </c>
      <c r="C1" s="7"/>
      <c r="D1" s="7"/>
      <c r="E1" s="7"/>
      <c r="F1" s="7"/>
      <c r="G1" s="7"/>
      <c r="H1" s="7"/>
      <c r="I1" s="7"/>
      <c r="J1" s="7"/>
    </row>
    <row r="2" spans="1:10" ht="19.5" customHeight="1" x14ac:dyDescent="0.3">
      <c r="A2" s="14"/>
      <c r="B2" s="6" t="s">
        <v>114</v>
      </c>
      <c r="C2" s="6"/>
      <c r="D2" s="6"/>
      <c r="E2" s="6"/>
      <c r="F2" s="6"/>
      <c r="G2" s="6"/>
      <c r="H2" s="6"/>
      <c r="I2" s="6"/>
      <c r="J2" s="6"/>
    </row>
    <row r="3" spans="1:10" ht="15" customHeight="1" x14ac:dyDescent="0.3">
      <c r="A3" s="14"/>
      <c r="B3" s="14"/>
      <c r="C3" s="14"/>
      <c r="D3" s="14"/>
      <c r="E3" s="14"/>
      <c r="F3" s="14"/>
      <c r="G3" s="14"/>
      <c r="H3" s="14"/>
      <c r="I3" s="14"/>
      <c r="J3" s="14"/>
    </row>
    <row r="4" spans="1:10" ht="30" customHeight="1" x14ac:dyDescent="0.3">
      <c r="A4" s="14"/>
      <c r="B4" s="5" t="s">
        <v>115</v>
      </c>
      <c r="C4" s="5"/>
      <c r="D4" s="5"/>
      <c r="E4" s="5"/>
      <c r="F4" s="5"/>
      <c r="G4" s="5"/>
      <c r="H4" s="5"/>
      <c r="I4" s="5"/>
      <c r="J4" s="5"/>
    </row>
    <row r="5" spans="1:10" ht="19.5" customHeight="1" x14ac:dyDescent="0.3">
      <c r="A5" s="14"/>
      <c r="B5" s="4" t="s">
        <v>116</v>
      </c>
      <c r="C5" s="4"/>
      <c r="D5" s="4"/>
      <c r="E5" s="4"/>
      <c r="F5" s="4"/>
      <c r="G5" s="4"/>
      <c r="H5" s="4"/>
      <c r="I5" s="4"/>
      <c r="J5" s="4"/>
    </row>
    <row r="6" spans="1:10" ht="15" customHeight="1" x14ac:dyDescent="0.3">
      <c r="A6" s="14"/>
      <c r="B6" s="14"/>
      <c r="C6" s="14"/>
      <c r="D6" s="14"/>
      <c r="E6" s="14"/>
      <c r="F6" s="14"/>
      <c r="G6" s="14"/>
      <c r="H6" s="14"/>
      <c r="I6" s="14"/>
      <c r="J6" s="14"/>
    </row>
    <row r="7" spans="1:10" ht="19.5" customHeight="1" x14ac:dyDescent="0.3">
      <c r="A7" s="14"/>
      <c r="B7" s="3" t="s">
        <v>117</v>
      </c>
      <c r="C7" s="3"/>
      <c r="D7" s="3"/>
      <c r="E7" s="3"/>
      <c r="F7" s="3"/>
      <c r="G7" s="3"/>
      <c r="H7" s="3"/>
      <c r="I7" s="3"/>
      <c r="J7" s="3"/>
    </row>
    <row r="8" spans="1:10" ht="27.75" customHeight="1" x14ac:dyDescent="0.3">
      <c r="A8" s="14"/>
      <c r="B8" s="2" t="s">
        <v>74</v>
      </c>
      <c r="C8" s="2"/>
      <c r="D8" s="2"/>
      <c r="E8" s="2" t="s">
        <v>76</v>
      </c>
      <c r="F8" s="2"/>
      <c r="G8" s="2"/>
      <c r="H8" s="2" t="s">
        <v>118</v>
      </c>
      <c r="I8" s="2"/>
      <c r="J8" s="2"/>
    </row>
    <row r="9" spans="1:10" ht="18" customHeight="1" x14ac:dyDescent="0.3">
      <c r="A9" s="14"/>
      <c r="B9" s="1" t="s">
        <v>119</v>
      </c>
      <c r="C9" s="1"/>
      <c r="D9" s="1"/>
      <c r="E9" s="1" t="s">
        <v>120</v>
      </c>
      <c r="F9" s="1"/>
      <c r="G9" s="1"/>
      <c r="H9" s="1" t="s">
        <v>121</v>
      </c>
      <c r="I9" s="1"/>
      <c r="J9" s="1"/>
    </row>
    <row r="10" spans="1:10" ht="15" customHeight="1" x14ac:dyDescent="0.3">
      <c r="A10" s="14"/>
      <c r="B10" s="14"/>
      <c r="C10" s="14"/>
      <c r="D10" s="14"/>
      <c r="E10" s="14"/>
      <c r="F10" s="14"/>
      <c r="G10" s="14"/>
      <c r="H10" s="14"/>
      <c r="I10" s="14"/>
      <c r="J10" s="14"/>
    </row>
    <row r="11" spans="1:10" ht="19.5" customHeight="1" x14ac:dyDescent="0.3">
      <c r="A11" s="14"/>
      <c r="B11" s="3" t="s">
        <v>122</v>
      </c>
      <c r="C11" s="3"/>
      <c r="D11" s="3"/>
      <c r="E11" s="3"/>
      <c r="F11" s="3"/>
      <c r="G11" s="3"/>
      <c r="H11" s="3"/>
      <c r="I11" s="3"/>
      <c r="J11" s="3"/>
    </row>
    <row r="12" spans="1:10" ht="27.75" customHeight="1" x14ac:dyDescent="0.3">
      <c r="A12" s="14"/>
      <c r="B12" s="2" t="s">
        <v>82</v>
      </c>
      <c r="C12" s="2"/>
      <c r="D12" s="2"/>
      <c r="E12" s="2" t="s">
        <v>84</v>
      </c>
      <c r="F12" s="2"/>
      <c r="G12" s="2"/>
      <c r="H12" s="2" t="s">
        <v>86</v>
      </c>
      <c r="I12" s="2"/>
      <c r="J12" s="2"/>
    </row>
    <row r="13" spans="1:10" ht="18" customHeight="1" x14ac:dyDescent="0.3">
      <c r="A13" s="14"/>
      <c r="B13" s="1" t="s">
        <v>123</v>
      </c>
      <c r="C13" s="1"/>
      <c r="D13" s="1"/>
      <c r="E13" s="1" t="s">
        <v>124</v>
      </c>
      <c r="F13" s="1"/>
      <c r="G13" s="1"/>
      <c r="H13" s="1" t="s">
        <v>125</v>
      </c>
      <c r="I13" s="1"/>
      <c r="J13" s="1"/>
    </row>
    <row r="14" spans="1:10" ht="15" customHeight="1" x14ac:dyDescent="0.3">
      <c r="A14" s="14"/>
      <c r="B14" s="14"/>
      <c r="C14" s="14"/>
      <c r="D14" s="14"/>
      <c r="E14" s="14"/>
      <c r="F14" s="14"/>
      <c r="G14" s="14"/>
      <c r="H14" s="14"/>
      <c r="I14" s="14"/>
      <c r="J14" s="14"/>
    </row>
    <row r="15" spans="1:10" ht="19.5" customHeight="1" x14ac:dyDescent="0.3">
      <c r="A15" s="14"/>
      <c r="B15" s="3" t="s">
        <v>126</v>
      </c>
      <c r="C15" s="3"/>
      <c r="D15" s="3"/>
      <c r="E15" s="3"/>
      <c r="F15" s="3"/>
      <c r="G15" s="3"/>
      <c r="H15" s="3"/>
      <c r="I15" s="3"/>
      <c r="J15" s="3"/>
    </row>
    <row r="16" spans="1:10" ht="27.75" customHeight="1" x14ac:dyDescent="0.3">
      <c r="A16" s="14"/>
      <c r="B16" s="91" t="s">
        <v>88</v>
      </c>
      <c r="C16" s="91"/>
      <c r="D16" s="91"/>
      <c r="E16" s="91" t="s">
        <v>90</v>
      </c>
      <c r="F16" s="91"/>
      <c r="G16" s="91"/>
      <c r="H16" s="91" t="s">
        <v>92</v>
      </c>
      <c r="I16" s="91"/>
      <c r="J16" s="91"/>
    </row>
    <row r="17" spans="1:10" ht="18" customHeight="1" x14ac:dyDescent="0.3">
      <c r="A17" s="14"/>
      <c r="B17" s="92" t="s">
        <v>127</v>
      </c>
      <c r="C17" s="92"/>
      <c r="D17" s="92"/>
      <c r="E17" s="92" t="s">
        <v>128</v>
      </c>
      <c r="F17" s="92"/>
      <c r="G17" s="92"/>
      <c r="H17" s="92" t="s">
        <v>129</v>
      </c>
      <c r="I17" s="92"/>
      <c r="J17" s="92"/>
    </row>
    <row r="18" spans="1:10" ht="27.75" customHeight="1" x14ac:dyDescent="0.3">
      <c r="A18" s="14"/>
      <c r="B18" s="91" t="s">
        <v>130</v>
      </c>
      <c r="C18" s="91"/>
      <c r="D18" s="91"/>
      <c r="E18" s="14"/>
      <c r="F18" s="14"/>
      <c r="G18" s="14"/>
      <c r="H18" s="14"/>
      <c r="I18" s="14"/>
      <c r="J18" s="14"/>
    </row>
    <row r="19" spans="1:10" ht="18" customHeight="1" x14ac:dyDescent="0.3">
      <c r="A19" s="14"/>
      <c r="B19" s="92" t="s">
        <v>131</v>
      </c>
      <c r="C19" s="92"/>
      <c r="D19" s="92"/>
      <c r="E19" s="14"/>
      <c r="F19" s="14"/>
      <c r="G19" s="14"/>
      <c r="H19" s="14"/>
      <c r="I19" s="14"/>
      <c r="J19" s="14"/>
    </row>
    <row r="20" spans="1:10" ht="15" customHeight="1" x14ac:dyDescent="0.3">
      <c r="A20" s="14"/>
      <c r="B20" s="14"/>
      <c r="C20" s="14"/>
      <c r="D20" s="14"/>
      <c r="E20" s="14"/>
      <c r="F20" s="14"/>
      <c r="G20" s="14"/>
      <c r="H20" s="14"/>
      <c r="I20" s="14"/>
      <c r="J20" s="14"/>
    </row>
    <row r="21" spans="1:10" ht="19.5" customHeight="1" x14ac:dyDescent="0.3">
      <c r="A21" s="14"/>
      <c r="B21" s="3" t="s">
        <v>132</v>
      </c>
      <c r="C21" s="3"/>
      <c r="D21" s="3"/>
      <c r="E21" s="3"/>
      <c r="F21" s="3"/>
      <c r="G21" s="3"/>
      <c r="H21" s="3"/>
      <c r="I21" s="3"/>
      <c r="J21" s="3"/>
    </row>
    <row r="22" spans="1:10" ht="27.75" customHeight="1" x14ac:dyDescent="0.3">
      <c r="A22" s="14"/>
      <c r="B22" s="5" t="s">
        <v>133</v>
      </c>
      <c r="C22" s="5"/>
      <c r="D22" s="5"/>
      <c r="E22" s="93"/>
      <c r="F22" s="93"/>
      <c r="G22" s="93"/>
      <c r="H22" s="93"/>
      <c r="I22" s="93"/>
      <c r="J22" s="93"/>
    </row>
    <row r="23" spans="1:10" ht="18" customHeight="1" x14ac:dyDescent="0.3">
      <c r="A23" s="14"/>
      <c r="B23" s="4" t="s">
        <v>134</v>
      </c>
      <c r="C23" s="4"/>
      <c r="D23" s="4"/>
      <c r="E23" s="94"/>
      <c r="F23" s="94"/>
      <c r="G23" s="94"/>
      <c r="H23" s="94"/>
      <c r="I23" s="94"/>
      <c r="J23" s="94"/>
    </row>
  </sheetData>
  <sheetProtection sheet="1" formatCells="0" formatColumns="0" formatRows="0" insertColumns="0" insertRows="0" deleteColumns="0" deleteRows="0" sort="0" autoFilter="0"/>
  <mergeCells count="34">
    <mergeCell ref="B23:D23"/>
    <mergeCell ref="E23:G23"/>
    <mergeCell ref="H23:J23"/>
    <mergeCell ref="B18:D18"/>
    <mergeCell ref="B19:D19"/>
    <mergeCell ref="B21:J21"/>
    <mergeCell ref="B22:D22"/>
    <mergeCell ref="E22:G22"/>
    <mergeCell ref="H22:J22"/>
    <mergeCell ref="B15:J15"/>
    <mergeCell ref="B16:D16"/>
    <mergeCell ref="E16:G16"/>
    <mergeCell ref="H16:J16"/>
    <mergeCell ref="B17:D17"/>
    <mergeCell ref="E17:G17"/>
    <mergeCell ref="H17:J17"/>
    <mergeCell ref="B11:J11"/>
    <mergeCell ref="B12:D12"/>
    <mergeCell ref="E12:G12"/>
    <mergeCell ref="H12:J12"/>
    <mergeCell ref="B13:D13"/>
    <mergeCell ref="E13:G13"/>
    <mergeCell ref="H13:J13"/>
    <mergeCell ref="B8:D8"/>
    <mergeCell ref="E8:G8"/>
    <mergeCell ref="H8:J8"/>
    <mergeCell ref="B9:D9"/>
    <mergeCell ref="E9:G9"/>
    <mergeCell ref="H9:J9"/>
    <mergeCell ref="B1:J1"/>
    <mergeCell ref="B2:J2"/>
    <mergeCell ref="B4:J4"/>
    <mergeCell ref="B5:J5"/>
    <mergeCell ref="B7:J7"/>
  </mergeCells>
  <hyperlinks>
    <hyperlink ref="B4" location="'DASHBOARD'!A1" display="★  BẢNG ĐIỀU KHIỂN" xr:uid="{00000000-0004-0000-0100-000000000000}"/>
    <hyperlink ref="B5" location="'DASHBOARD'!A1" display="Tổng quan sức khỏe cửa hàng — mở xem đầu tiên" xr:uid="{00000000-0004-0000-0100-000001000000}"/>
    <hyperlink ref="B8" location="'DON-HANG'!A1" display="ĐƠN HÀNG" xr:uid="{00000000-0004-0000-0100-000002000000}"/>
    <hyperlink ref="E8" location="'NHAP-HANG'!A1" display="NHẬP HÀNG" xr:uid="{00000000-0004-0000-0100-000003000000}"/>
    <hyperlink ref="H8" location="'CHI-PHI'!A1" display="CHI PHÍ" xr:uid="{00000000-0004-0000-0100-000004000000}"/>
    <hyperlink ref="B9" location="'DON-HANG'!A1" display="Bán ra &amp; lãi từng đơn" xr:uid="{00000000-0004-0000-0100-000005000000}"/>
    <hyperlink ref="E9" location="'NHAP-HANG'!A1" display="Nhập kho, cộng tồn" xr:uid="{00000000-0004-0000-0100-000006000000}"/>
    <hyperlink ref="H9" location="'CHI-PHI'!A1" display="Cố định &amp; phát sinh" xr:uid="{00000000-0004-0000-0100-000007000000}"/>
    <hyperlink ref="B12" location="'TONG-HOP'!A1" display="TỔNG HỢP" xr:uid="{00000000-0004-0000-0100-000008000000}"/>
    <hyperlink ref="E12" location="'CONG-NO'!A1" display="CÔNG NỢ" xr:uid="{00000000-0004-0000-0100-000009000000}"/>
    <hyperlink ref="H12" location="'MUC-TIEU'!A1" display="MỤC TIÊU" xr:uid="{00000000-0004-0000-0100-00000A000000}"/>
    <hyperlink ref="B13" location="'TONG-HOP'!A1" display="Lãi/lỗ ròng theo tháng" xr:uid="{00000000-0004-0000-0100-00000B000000}"/>
    <hyperlink ref="E13" location="'CONG-NO'!A1" display="Phải thu / phải trả" xr:uid="{00000000-0004-0000-0100-00000C000000}"/>
    <hyperlink ref="H13" location="'MUC-TIEU'!A1" display="Doanh thu mục tiêu/tháng" xr:uid="{00000000-0004-0000-0100-00000D000000}"/>
    <hyperlink ref="B16" location="'K-HANG'!A1" display="KHÁCH HÀNG" xr:uid="{00000000-0004-0000-0100-00000E000000}"/>
    <hyperlink ref="E16" location="'SANPHAM'!A1" display="HÀNG HOÁ &amp; KHO" xr:uid="{00000000-0004-0000-0100-00000F000000}"/>
    <hyperlink ref="H16" location="'NHA-CUNG-CAP'!A1" display="NHÀ CUNG CẤP" xr:uid="{00000000-0004-0000-0100-000010000000}"/>
    <hyperlink ref="B17" location="'K-HANG'!A1" display="Hồ sơ &amp; lịch sử mua" xr:uid="{00000000-0004-0000-0100-000011000000}"/>
    <hyperlink ref="E17" location="'SANPHAM'!A1" display="Danh mục, giá, tồn kho" xr:uid="{00000000-0004-0000-0100-000012000000}"/>
    <hyperlink ref="H17" location="'NHA-CUNG-CAP'!A1" display="Hồ sơ &amp; công nợ NCC" xr:uid="{00000000-0004-0000-0100-000013000000}"/>
    <hyperlink ref="B18" location="'THEO-DOI'!A1" display="THEO DÕI" xr:uid="{00000000-0004-0000-0100-000014000000}"/>
    <hyperlink ref="B19" location="'THEO-DOI'!A1" display="Liên hệ &amp; tiến trình" xr:uid="{00000000-0004-0000-0100-000015000000}"/>
    <hyperlink ref="B22" location="'HUONG-DAN'!A1" display="HƯỚNG DẪN" xr:uid="{00000000-0004-0000-0100-000016000000}"/>
    <hyperlink ref="B23" location="'HUONG-DAN'!A1" display="Cài đặt lần đầu · Sửa ô nào từng sheet · In tem · Sửa dropdown" xr:uid="{00000000-0004-0000-0100-000017000000}"/>
  </hyperlinks>
  <pageMargins left="0.75" right="0.75" top="1" bottom="1"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showGridLines="0" tabSelected="1" zoomScaleNormal="100" workbookViewId="0">
      <selection activeCell="A14" sqref="A14:K14"/>
    </sheetView>
  </sheetViews>
  <sheetFormatPr defaultColWidth="8.6640625" defaultRowHeight="14.4" x14ac:dyDescent="0.3"/>
  <cols>
    <col min="1" max="3" width="15" style="13" customWidth="1"/>
    <col min="4" max="4" width="4" style="13" customWidth="1"/>
    <col min="5" max="7" width="15" style="13" customWidth="1"/>
    <col min="8" max="8" width="4" style="13" customWidth="1"/>
    <col min="9" max="11" width="15" style="13" customWidth="1"/>
    <col min="14" max="14" width="16" style="13" customWidth="1"/>
    <col min="15" max="15" width="13" style="13" customWidth="1"/>
  </cols>
  <sheetData>
    <row r="1" spans="1:15" ht="33.75" customHeight="1" x14ac:dyDescent="0.3">
      <c r="A1" s="7" t="s">
        <v>135</v>
      </c>
      <c r="B1" s="7"/>
      <c r="C1" s="7"/>
      <c r="D1" s="7"/>
      <c r="E1" s="7"/>
      <c r="F1" s="7"/>
      <c r="G1" s="7"/>
      <c r="H1" s="7"/>
      <c r="I1" s="7"/>
      <c r="J1" s="11" t="s">
        <v>1</v>
      </c>
      <c r="K1" s="11"/>
    </row>
    <row r="2" spans="1:15" ht="15" customHeight="1" x14ac:dyDescent="0.3">
      <c r="A2" s="14"/>
      <c r="B2" s="14"/>
      <c r="C2" s="14"/>
      <c r="D2" s="14"/>
      <c r="E2" s="14"/>
      <c r="F2" s="14"/>
      <c r="G2" s="14"/>
      <c r="H2" s="14"/>
      <c r="I2" s="14"/>
      <c r="J2" s="14"/>
      <c r="K2" s="14"/>
    </row>
    <row r="3" spans="1:15" ht="15.75" customHeight="1" x14ac:dyDescent="0.3">
      <c r="A3" s="19" t="s">
        <v>136</v>
      </c>
      <c r="B3" s="20">
        <v>6</v>
      </c>
      <c r="C3" s="19" t="s">
        <v>137</v>
      </c>
      <c r="D3" s="14"/>
      <c r="E3" s="20">
        <v>2026</v>
      </c>
      <c r="F3" s="95" t="s">
        <v>138</v>
      </c>
      <c r="G3" s="95"/>
      <c r="H3" s="95"/>
      <c r="I3" s="95"/>
      <c r="J3" s="14"/>
      <c r="K3" s="14"/>
      <c r="N3" s="21" t="s">
        <v>139</v>
      </c>
      <c r="O3" s="21" t="s">
        <v>140</v>
      </c>
    </row>
    <row r="4" spans="1:15" ht="15" customHeight="1" x14ac:dyDescent="0.3">
      <c r="A4" s="14"/>
      <c r="B4" s="14"/>
      <c r="C4" s="14"/>
      <c r="D4" s="14"/>
      <c r="E4" s="14"/>
      <c r="F4" s="14"/>
      <c r="G4" s="14"/>
      <c r="H4" s="14"/>
      <c r="I4" s="14"/>
      <c r="J4" s="14"/>
      <c r="K4" s="14"/>
      <c r="N4" s="22">
        <v>1</v>
      </c>
      <c r="O4" s="23">
        <f>SUMPRODUCT((DAY('DON-HANG'!$B$5:$B$1000)=1)*(MONTH('DON-HANG'!$B$5:$B$1000)=$B$3)*(YEAR('DON-HANG'!$B$5:$B$1000)=$E$3)*'DON-HANG'!$G$5:$G$1000)</f>
        <v>0</v>
      </c>
    </row>
    <row r="5" spans="1:15" ht="19.5" customHeight="1" x14ac:dyDescent="0.3">
      <c r="A5" s="96" t="s">
        <v>141</v>
      </c>
      <c r="B5" s="96"/>
      <c r="C5" s="96"/>
      <c r="D5" s="14"/>
      <c r="E5" s="97" t="s">
        <v>142</v>
      </c>
      <c r="F5" s="97"/>
      <c r="G5" s="97"/>
      <c r="H5" s="14"/>
      <c r="I5" s="98" t="s">
        <v>143</v>
      </c>
      <c r="J5" s="98"/>
      <c r="K5" s="98"/>
      <c r="N5" s="22">
        <v>2</v>
      </c>
      <c r="O5" s="23">
        <f>SUMPRODUCT((DAY('DON-HANG'!$B$5:$B$1000)=2)*(MONTH('DON-HANG'!$B$5:$B$1000)=$B$3)*(YEAR('DON-HANG'!$B$5:$B$1000)=$E$3)*'DON-HANG'!$G$5:$G$1000)</f>
        <v>300000</v>
      </c>
    </row>
    <row r="6" spans="1:15" ht="33.75" customHeight="1" x14ac:dyDescent="0.3">
      <c r="A6" s="99">
        <f>SUMPRODUCT((MONTH('DON-HANG'!$B$5:$B$1000)=$B$3)*(YEAR('DON-HANG'!$B$5:$B$1000)=$E$3)*'DON-HANG'!$G$5:$G$1000)</f>
        <v>1860000</v>
      </c>
      <c r="B6" s="99"/>
      <c r="C6" s="99"/>
      <c r="D6" s="14"/>
      <c r="E6" s="100">
        <f>(SUMPRODUCT((MONTH('DON-HANG'!$B$5:$B$1000)=$B$3)*(YEAR('DON-HANG'!$B$5:$B$1000)=$E$3)*'DON-HANG'!$G$5:$G$1000))-(SUMPRODUCT((MONTH('DON-HANG'!$B$5:$B$1000)=$B$3)*(YEAR('DON-HANG'!$B$5:$B$1000)=$E$3)*'DON-HANG'!$H$5:$H$1000))-(SUMPRODUCT((MONTH('DON-HANG'!$B$5:$B$1000)=$B$3)*(YEAR('DON-HANG'!$B$5:$B$1000)=$E$3)*('DON-HANG'!$I$5:$I$1000+'DON-HANG'!$J$5:$J$1000+'DON-HANG'!$K$5:$K$1000)))-(SUMIFS('CHI-PHI'!$D$45:$D$68,'CHI-PHI'!$B$45:$B$68,$E$3,'CHI-PHI'!$C$45:$C$68,$B$3))-(SUMPRODUCT((MONTH('CHI-PHI'!$B$23:$B$40)=$B$3)*(YEAR('CHI-PHI'!$B$23:$B$40)=$E$3)*'CHI-PHI'!$E$23:$E$40))</f>
        <v>172000</v>
      </c>
      <c r="F6" s="100"/>
      <c r="G6" s="100"/>
      <c r="H6" s="14"/>
      <c r="I6" s="101">
        <f>SUMPRODUCT((MONTH('DON-HANG'!$B$5:$B$1000)=$B$3)*(YEAR('DON-HANG'!$B$5:$B$1000)=$E$3)*('DON-HANG'!$G$5:$G$1000&lt;&gt;""))</f>
        <v>3</v>
      </c>
      <c r="J6" s="101"/>
      <c r="K6" s="101"/>
      <c r="N6" s="22">
        <v>3</v>
      </c>
      <c r="O6" s="23">
        <f>SUMPRODUCT((DAY('DON-HANG'!$B$5:$B$1000)=3)*(MONTH('DON-HANG'!$B$5:$B$1000)=$B$3)*(YEAR('DON-HANG'!$B$5:$B$1000)=$E$3)*'DON-HANG'!$G$5:$G$1000)</f>
        <v>0</v>
      </c>
    </row>
    <row r="7" spans="1:15" ht="15" customHeight="1" x14ac:dyDescent="0.3">
      <c r="A7" s="14"/>
      <c r="B7" s="14"/>
      <c r="C7" s="14"/>
      <c r="D7" s="14"/>
      <c r="E7" s="14"/>
      <c r="F7" s="14"/>
      <c r="G7" s="14"/>
      <c r="H7" s="14"/>
      <c r="I7" s="14"/>
      <c r="J7" s="14"/>
      <c r="K7" s="14"/>
      <c r="N7" s="22">
        <v>4</v>
      </c>
      <c r="O7" s="23">
        <f>SUMPRODUCT((DAY('DON-HANG'!$B$5:$B$1000)=4)*(MONTH('DON-HANG'!$B$5:$B$1000)=$B$3)*(YEAR('DON-HANG'!$B$5:$B$1000)=$E$3)*'DON-HANG'!$G$5:$G$1000)</f>
        <v>150000</v>
      </c>
    </row>
    <row r="8" spans="1:15" ht="19.5" customHeight="1" x14ac:dyDescent="0.3">
      <c r="A8" s="97" t="s">
        <v>144</v>
      </c>
      <c r="B8" s="97"/>
      <c r="C8" s="97"/>
      <c r="D8" s="14"/>
      <c r="E8" s="102" t="s">
        <v>145</v>
      </c>
      <c r="F8" s="102"/>
      <c r="G8" s="102"/>
      <c r="H8" s="14"/>
      <c r="I8" s="103" t="s">
        <v>146</v>
      </c>
      <c r="J8" s="103"/>
      <c r="K8" s="103"/>
      <c r="N8" s="22">
        <v>5</v>
      </c>
      <c r="O8" s="23">
        <f>SUMPRODUCT((DAY('DON-HANG'!$B$5:$B$1000)=5)*(MONTH('DON-HANG'!$B$5:$B$1000)=$B$3)*(YEAR('DON-HANG'!$B$5:$B$1000)=$E$3)*'DON-HANG'!$G$5:$G$1000)</f>
        <v>1410000</v>
      </c>
    </row>
    <row r="9" spans="1:15" ht="33.75" customHeight="1" x14ac:dyDescent="0.3">
      <c r="A9" s="100">
        <f>'CONG-NO'!$C$5</f>
        <v>1410000</v>
      </c>
      <c r="B9" s="100"/>
      <c r="C9" s="100"/>
      <c r="D9" s="14"/>
      <c r="E9" s="104">
        <f>'CONG-NO'!$F$5</f>
        <v>180000</v>
      </c>
      <c r="F9" s="104"/>
      <c r="G9" s="104"/>
      <c r="H9" s="14"/>
      <c r="I9" s="105">
        <f>SUMPRODUCT((ISNUMBER(SANPHAM!$N$5:$N$34))*(SANPHAM!$N$5:$N$34&lt;=5))</f>
        <v>4</v>
      </c>
      <c r="J9" s="105"/>
      <c r="K9" s="105"/>
      <c r="N9" s="22">
        <v>6</v>
      </c>
      <c r="O9" s="23">
        <f>SUMPRODUCT((DAY('DON-HANG'!$B$5:$B$1000)=6)*(MONTH('DON-HANG'!$B$5:$B$1000)=$B$3)*(YEAR('DON-HANG'!$B$5:$B$1000)=$E$3)*'DON-HANG'!$G$5:$G$1000)</f>
        <v>0</v>
      </c>
    </row>
    <row r="10" spans="1:15" ht="15" customHeight="1" x14ac:dyDescent="0.3">
      <c r="A10" s="14"/>
      <c r="B10" s="14"/>
      <c r="C10" s="14"/>
      <c r="D10" s="14"/>
      <c r="E10" s="14"/>
      <c r="F10" s="14"/>
      <c r="G10" s="14"/>
      <c r="H10" s="14"/>
      <c r="I10" s="14"/>
      <c r="J10" s="14"/>
      <c r="K10" s="14"/>
      <c r="N10" s="22">
        <v>7</v>
      </c>
      <c r="O10" s="23">
        <f>SUMPRODUCT((DAY('DON-HANG'!$B$5:$B$1000)=7)*(MONTH('DON-HANG'!$B$5:$B$1000)=$B$3)*(YEAR('DON-HANG'!$B$5:$B$1000)=$E$3)*'DON-HANG'!$G$5:$G$1000)</f>
        <v>0</v>
      </c>
    </row>
    <row r="11" spans="1:15" ht="19.5" customHeight="1" x14ac:dyDescent="0.3">
      <c r="A11" s="96" t="s">
        <v>147</v>
      </c>
      <c r="B11" s="96"/>
      <c r="C11" s="96"/>
      <c r="D11" s="14"/>
      <c r="E11" s="97" t="s">
        <v>148</v>
      </c>
      <c r="F11" s="97"/>
      <c r="G11" s="97"/>
      <c r="H11" s="14"/>
      <c r="I11" s="106" t="s">
        <v>149</v>
      </c>
      <c r="J11" s="106"/>
      <c r="K11" s="106"/>
      <c r="N11" s="22">
        <v>8</v>
      </c>
      <c r="O11" s="23">
        <f>SUMPRODUCT((DAY('DON-HANG'!$B$5:$B$1000)=8)*(MONTH('DON-HANG'!$B$5:$B$1000)=$B$3)*(YEAR('DON-HANG'!$B$5:$B$1000)=$E$3)*'DON-HANG'!$G$5:$G$1000)</f>
        <v>0</v>
      </c>
    </row>
    <row r="12" spans="1:15" ht="33.75" customHeight="1" x14ac:dyDescent="0.3">
      <c r="A12" s="99">
        <f>SUMPRODUCT((YEAR('DON-HANG'!$B$5:$B$1000)=$E$3)*'DON-HANG'!$G$5:$G$1000)</f>
        <v>1860000</v>
      </c>
      <c r="B12" s="99"/>
      <c r="C12" s="99"/>
      <c r="D12" s="14"/>
      <c r="E12" s="100">
        <f>(SUMPRODUCT((YEAR('DON-HANG'!$B$5:$B$1000)=$E$3)*'DON-HANG'!$G$5:$G$1000))-(SUMPRODUCT((YEAR('DON-HANG'!$B$5:$B$1000)=$E$3)*'DON-HANG'!$H$5:$H$1000))-(SUMPRODUCT((YEAR('DON-HANG'!$B$5:$B$1000)=$E$3)*('DON-HANG'!$I$5:$I$1000+'DON-HANG'!$J$5:$J$1000+'DON-HANG'!$K$5:$K$1000)))-(SUMIFS('CHI-PHI'!$D$45:$D$68,'CHI-PHI'!$B$45:$B$68,$E$3))-(SUMPRODUCT((YEAR('CHI-PHI'!$B$23:$B$40)=$E$3)*'CHI-PHI'!$E$23:$E$40))</f>
        <v>172000</v>
      </c>
      <c r="F12" s="100"/>
      <c r="G12" s="100"/>
      <c r="H12" s="14"/>
      <c r="I12" s="107">
        <f>SUMPRODUCT(IFERROR(SANPHAM!$O$5:$O$34*SANPHAM!$J$5:$J$34,0))</f>
        <v>0</v>
      </c>
      <c r="J12" s="107"/>
      <c r="K12" s="107"/>
      <c r="N12" s="22">
        <v>9</v>
      </c>
      <c r="O12" s="23">
        <f>SUMPRODUCT((DAY('DON-HANG'!$B$5:$B$1000)=9)*(MONTH('DON-HANG'!$B$5:$B$1000)=$B$3)*(YEAR('DON-HANG'!$B$5:$B$1000)=$E$3)*'DON-HANG'!$G$5:$G$1000)</f>
        <v>0</v>
      </c>
    </row>
    <row r="13" spans="1:15" ht="15" customHeight="1" x14ac:dyDescent="0.3">
      <c r="A13" s="14"/>
      <c r="B13" s="14"/>
      <c r="C13" s="14"/>
      <c r="D13" s="14"/>
      <c r="E13" s="14"/>
      <c r="F13" s="14"/>
      <c r="G13" s="14"/>
      <c r="H13" s="14"/>
      <c r="I13" s="14"/>
      <c r="J13" s="14"/>
      <c r="K13" s="14"/>
      <c r="N13" s="22">
        <v>10</v>
      </c>
      <c r="O13" s="23">
        <f>SUMPRODUCT((DAY('DON-HANG'!$B$5:$B$1000)=10)*(MONTH('DON-HANG'!$B$5:$B$1000)=$B$3)*(YEAR('DON-HANG'!$B$5:$B$1000)=$E$3)*'DON-HANG'!$G$5:$G$1000)</f>
        <v>0</v>
      </c>
    </row>
    <row r="14" spans="1:15" ht="15" customHeight="1" x14ac:dyDescent="0.3">
      <c r="A14" s="108" t="s">
        <v>150</v>
      </c>
      <c r="B14" s="108"/>
      <c r="C14" s="108"/>
      <c r="D14" s="108"/>
      <c r="E14" s="108"/>
      <c r="F14" s="108"/>
      <c r="G14" s="108"/>
      <c r="H14" s="108"/>
      <c r="I14" s="108"/>
      <c r="J14" s="108"/>
      <c r="K14" s="108"/>
      <c r="N14" s="22">
        <v>11</v>
      </c>
      <c r="O14" s="23">
        <f>SUMPRODUCT((DAY('DON-HANG'!$B$5:$B$1000)=11)*(MONTH('DON-HANG'!$B$5:$B$1000)=$B$3)*(YEAR('DON-HANG'!$B$5:$B$1000)=$E$3)*'DON-HANG'!$G$5:$G$1000)</f>
        <v>0</v>
      </c>
    </row>
    <row r="15" spans="1:15" ht="14.25" customHeight="1" x14ac:dyDescent="0.3">
      <c r="N15" s="22">
        <v>12</v>
      </c>
      <c r="O15" s="23">
        <f>SUMPRODUCT((DAY('DON-HANG'!$B$5:$B$1000)=12)*(MONTH('DON-HANG'!$B$5:$B$1000)=$B$3)*(YEAR('DON-HANG'!$B$5:$B$1000)=$E$3)*'DON-HANG'!$G$5:$G$1000)</f>
        <v>0</v>
      </c>
    </row>
    <row r="16" spans="1:15" ht="21.75" customHeight="1" x14ac:dyDescent="0.3">
      <c r="A16" s="109" t="s">
        <v>151</v>
      </c>
      <c r="B16" s="109"/>
      <c r="C16" s="109"/>
      <c r="D16" s="109"/>
      <c r="E16" s="109"/>
      <c r="F16" s="109"/>
      <c r="G16" s="109"/>
      <c r="H16" s="109"/>
      <c r="I16" s="109"/>
      <c r="J16" s="109"/>
      <c r="K16" s="109"/>
      <c r="N16" s="22">
        <v>13</v>
      </c>
      <c r="O16" s="23">
        <f>SUMPRODUCT((DAY('DON-HANG'!$B$5:$B$1000)=13)*(MONTH('DON-HANG'!$B$5:$B$1000)=$B$3)*(YEAR('DON-HANG'!$B$5:$B$1000)=$E$3)*'DON-HANG'!$G$5:$G$1000)</f>
        <v>0</v>
      </c>
    </row>
    <row r="17" spans="1:15" ht="14.25" customHeight="1" x14ac:dyDescent="0.3">
      <c r="A17" s="110" t="str">
        <f>"Đang xem: Tháng "&amp;$B$3&amp;"/"&amp;$E$3&amp;"  —  đổi tháng/năm ở ô lọc phía trên để biểu đồ tự cập nhật."</f>
        <v>Đang xem: Tháng 6/2026  —  đổi tháng/năm ở ô lọc phía trên để biểu đồ tự cập nhật.</v>
      </c>
      <c r="B17" s="110"/>
      <c r="C17" s="110"/>
      <c r="D17" s="110"/>
      <c r="E17" s="110"/>
      <c r="F17" s="110"/>
      <c r="G17" s="110"/>
      <c r="H17" s="110"/>
      <c r="I17" s="110"/>
      <c r="J17" s="110"/>
      <c r="K17" s="110"/>
      <c r="N17" s="22">
        <v>14</v>
      </c>
      <c r="O17" s="23">
        <f>SUMPRODUCT((DAY('DON-HANG'!$B$5:$B$1000)=14)*(MONTH('DON-HANG'!$B$5:$B$1000)=$B$3)*(YEAR('DON-HANG'!$B$5:$B$1000)=$E$3)*'DON-HANG'!$G$5:$G$1000)</f>
        <v>0</v>
      </c>
    </row>
    <row r="18" spans="1:15" ht="14.25" customHeight="1" x14ac:dyDescent="0.3">
      <c r="N18" s="22">
        <v>15</v>
      </c>
      <c r="O18" s="23">
        <f>SUMPRODUCT((DAY('DON-HANG'!$B$5:$B$1000)=15)*(MONTH('DON-HANG'!$B$5:$B$1000)=$B$3)*(YEAR('DON-HANG'!$B$5:$B$1000)=$E$3)*'DON-HANG'!$G$5:$G$1000)</f>
        <v>0</v>
      </c>
    </row>
    <row r="19" spans="1:15" ht="14.25" customHeight="1" x14ac:dyDescent="0.3">
      <c r="N19" s="22">
        <v>16</v>
      </c>
      <c r="O19" s="23">
        <f>SUMPRODUCT((DAY('DON-HANG'!$B$5:$B$1000)=16)*(MONTH('DON-HANG'!$B$5:$B$1000)=$B$3)*(YEAR('DON-HANG'!$B$5:$B$1000)=$E$3)*'DON-HANG'!$G$5:$G$1000)</f>
        <v>0</v>
      </c>
    </row>
    <row r="20" spans="1:15" ht="14.25" customHeight="1" x14ac:dyDescent="0.3">
      <c r="N20" s="22">
        <v>17</v>
      </c>
      <c r="O20" s="23">
        <f>SUMPRODUCT((DAY('DON-HANG'!$B$5:$B$1000)=17)*(MONTH('DON-HANG'!$B$5:$B$1000)=$B$3)*(YEAR('DON-HANG'!$B$5:$B$1000)=$E$3)*'DON-HANG'!$G$5:$G$1000)</f>
        <v>0</v>
      </c>
    </row>
    <row r="21" spans="1:15" ht="14.25" customHeight="1" x14ac:dyDescent="0.3">
      <c r="N21" s="22">
        <v>18</v>
      </c>
      <c r="O21" s="23">
        <f>SUMPRODUCT((DAY('DON-HANG'!$B$5:$B$1000)=18)*(MONTH('DON-HANG'!$B$5:$B$1000)=$B$3)*(YEAR('DON-HANG'!$B$5:$B$1000)=$E$3)*'DON-HANG'!$G$5:$G$1000)</f>
        <v>0</v>
      </c>
    </row>
    <row r="22" spans="1:15" ht="14.25" customHeight="1" x14ac:dyDescent="0.3">
      <c r="N22" s="22">
        <v>19</v>
      </c>
      <c r="O22" s="23">
        <f>SUMPRODUCT((DAY('DON-HANG'!$B$5:$B$1000)=19)*(MONTH('DON-HANG'!$B$5:$B$1000)=$B$3)*(YEAR('DON-HANG'!$B$5:$B$1000)=$E$3)*'DON-HANG'!$G$5:$G$1000)</f>
        <v>0</v>
      </c>
    </row>
    <row r="23" spans="1:15" ht="14.25" customHeight="1" x14ac:dyDescent="0.3">
      <c r="N23" s="22">
        <v>20</v>
      </c>
      <c r="O23" s="23">
        <f>SUMPRODUCT((DAY('DON-HANG'!$B$5:$B$1000)=20)*(MONTH('DON-HANG'!$B$5:$B$1000)=$B$3)*(YEAR('DON-HANG'!$B$5:$B$1000)=$E$3)*'DON-HANG'!$G$5:$G$1000)</f>
        <v>0</v>
      </c>
    </row>
    <row r="24" spans="1:15" ht="14.25" customHeight="1" x14ac:dyDescent="0.3">
      <c r="N24" s="22">
        <v>21</v>
      </c>
      <c r="O24" s="23">
        <f>SUMPRODUCT((DAY('DON-HANG'!$B$5:$B$1000)=21)*(MONTH('DON-HANG'!$B$5:$B$1000)=$B$3)*(YEAR('DON-HANG'!$B$5:$B$1000)=$E$3)*'DON-HANG'!$G$5:$G$1000)</f>
        <v>0</v>
      </c>
    </row>
    <row r="25" spans="1:15" ht="14.25" customHeight="1" x14ac:dyDescent="0.3">
      <c r="N25" s="22">
        <v>22</v>
      </c>
      <c r="O25" s="23">
        <f>SUMPRODUCT((DAY('DON-HANG'!$B$5:$B$1000)=22)*(MONTH('DON-HANG'!$B$5:$B$1000)=$B$3)*(YEAR('DON-HANG'!$B$5:$B$1000)=$E$3)*'DON-HANG'!$G$5:$G$1000)</f>
        <v>0</v>
      </c>
    </row>
    <row r="26" spans="1:15" ht="14.25" customHeight="1" x14ac:dyDescent="0.3">
      <c r="N26" s="22">
        <v>23</v>
      </c>
      <c r="O26" s="23">
        <f>SUMPRODUCT((DAY('DON-HANG'!$B$5:$B$1000)=23)*(MONTH('DON-HANG'!$B$5:$B$1000)=$B$3)*(YEAR('DON-HANG'!$B$5:$B$1000)=$E$3)*'DON-HANG'!$G$5:$G$1000)</f>
        <v>0</v>
      </c>
    </row>
    <row r="27" spans="1:15" ht="14.25" customHeight="1" x14ac:dyDescent="0.3">
      <c r="N27" s="22">
        <v>24</v>
      </c>
      <c r="O27" s="23">
        <f>SUMPRODUCT((DAY('DON-HANG'!$B$5:$B$1000)=24)*(MONTH('DON-HANG'!$B$5:$B$1000)=$B$3)*(YEAR('DON-HANG'!$B$5:$B$1000)=$E$3)*'DON-HANG'!$G$5:$G$1000)</f>
        <v>0</v>
      </c>
    </row>
    <row r="28" spans="1:15" ht="14.25" customHeight="1" x14ac:dyDescent="0.3">
      <c r="N28" s="22">
        <v>25</v>
      </c>
      <c r="O28" s="23">
        <f>SUMPRODUCT((DAY('DON-HANG'!$B$5:$B$1000)=25)*(MONTH('DON-HANG'!$B$5:$B$1000)=$B$3)*(YEAR('DON-HANG'!$B$5:$B$1000)=$E$3)*'DON-HANG'!$G$5:$G$1000)</f>
        <v>0</v>
      </c>
    </row>
    <row r="29" spans="1:15" ht="14.25" customHeight="1" x14ac:dyDescent="0.3">
      <c r="N29" s="22">
        <v>26</v>
      </c>
      <c r="O29" s="23">
        <f>SUMPRODUCT((DAY('DON-HANG'!$B$5:$B$1000)=26)*(MONTH('DON-HANG'!$B$5:$B$1000)=$B$3)*(YEAR('DON-HANG'!$B$5:$B$1000)=$E$3)*'DON-HANG'!$G$5:$G$1000)</f>
        <v>0</v>
      </c>
    </row>
    <row r="30" spans="1:15" ht="14.25" customHeight="1" x14ac:dyDescent="0.3">
      <c r="N30" s="22">
        <v>27</v>
      </c>
      <c r="O30" s="23">
        <f>SUMPRODUCT((DAY('DON-HANG'!$B$5:$B$1000)=27)*(MONTH('DON-HANG'!$B$5:$B$1000)=$B$3)*(YEAR('DON-HANG'!$B$5:$B$1000)=$E$3)*'DON-HANG'!$G$5:$G$1000)</f>
        <v>0</v>
      </c>
    </row>
    <row r="31" spans="1:15" ht="14.25" customHeight="1" x14ac:dyDescent="0.3">
      <c r="N31" s="22">
        <v>28</v>
      </c>
      <c r="O31" s="23">
        <f>SUMPRODUCT((DAY('DON-HANG'!$B$5:$B$1000)=28)*(MONTH('DON-HANG'!$B$5:$B$1000)=$B$3)*(YEAR('DON-HANG'!$B$5:$B$1000)=$E$3)*'DON-HANG'!$G$5:$G$1000)</f>
        <v>0</v>
      </c>
    </row>
    <row r="32" spans="1:15" ht="14.25" customHeight="1" x14ac:dyDescent="0.3">
      <c r="N32" s="22">
        <v>29</v>
      </c>
      <c r="O32" s="23">
        <f>SUMPRODUCT((DAY('DON-HANG'!$B$5:$B$1000)=29)*(MONTH('DON-HANG'!$B$5:$B$1000)=$B$3)*(YEAR('DON-HANG'!$B$5:$B$1000)=$E$3)*'DON-HANG'!$G$5:$G$1000)</f>
        <v>0</v>
      </c>
    </row>
    <row r="33" spans="14:15" ht="14.25" customHeight="1" x14ac:dyDescent="0.3">
      <c r="N33" s="22">
        <v>30</v>
      </c>
      <c r="O33" s="23">
        <f>SUMPRODUCT((DAY('DON-HANG'!$B$5:$B$1000)=30)*(MONTH('DON-HANG'!$B$5:$B$1000)=$B$3)*(YEAR('DON-HANG'!$B$5:$B$1000)=$E$3)*'DON-HANG'!$G$5:$G$1000)</f>
        <v>0</v>
      </c>
    </row>
    <row r="34" spans="14:15" ht="14.25" customHeight="1" x14ac:dyDescent="0.3">
      <c r="N34" s="22">
        <v>31</v>
      </c>
      <c r="O34" s="23">
        <f>SUMPRODUCT((DAY('DON-HANG'!$B$5:$B$1000)=31)*(MONTH('DON-HANG'!$B$5:$B$1000)=$B$3)*(YEAR('DON-HANG'!$B$5:$B$1000)=$E$3)*'DON-HANG'!$G$5:$G$1000)</f>
        <v>0</v>
      </c>
    </row>
    <row r="37" spans="14:15" ht="14.25" customHeight="1" x14ac:dyDescent="0.3">
      <c r="N37" s="21" t="s">
        <v>152</v>
      </c>
      <c r="O37" s="21" t="s">
        <v>140</v>
      </c>
    </row>
    <row r="38" spans="14:15" ht="14.25" customHeight="1" x14ac:dyDescent="0.3">
      <c r="N38" s="24" t="s">
        <v>153</v>
      </c>
      <c r="O38" s="23">
        <f>SUMPRODUCT(('DON-HANG'!$D$5:$D$1000=$N38)*(MONTH('DON-HANG'!$B$5:$B$1000)=$B$3)*(YEAR('DON-HANG'!$B$5:$B$1000)=$E$3)*'DON-HANG'!$G$5:$G$1000)</f>
        <v>0</v>
      </c>
    </row>
    <row r="39" spans="14:15" ht="14.25" customHeight="1" x14ac:dyDescent="0.3">
      <c r="N39" s="24" t="s">
        <v>154</v>
      </c>
      <c r="O39" s="23">
        <f>SUMPRODUCT(('DON-HANG'!$D$5:$D$1000=$N39)*(MONTH('DON-HANG'!$B$5:$B$1000)=$B$3)*(YEAR('DON-HANG'!$B$5:$B$1000)=$E$3)*'DON-HANG'!$G$5:$G$1000)</f>
        <v>0</v>
      </c>
    </row>
    <row r="40" spans="14:15" ht="14.25" customHeight="1" x14ac:dyDescent="0.3">
      <c r="N40" s="24" t="s">
        <v>155</v>
      </c>
      <c r="O40" s="23">
        <f>SUMPRODUCT(('DON-HANG'!$D$5:$D$1000=$N40)*(MONTH('DON-HANG'!$B$5:$B$1000)=$B$3)*(YEAR('DON-HANG'!$B$5:$B$1000)=$E$3)*'DON-HANG'!$G$5:$G$1000)</f>
        <v>0</v>
      </c>
    </row>
    <row r="41" spans="14:15" ht="14.25" customHeight="1" x14ac:dyDescent="0.3">
      <c r="N41" s="24" t="s">
        <v>156</v>
      </c>
      <c r="O41" s="23">
        <f>SUMPRODUCT(('DON-HANG'!$D$5:$D$1000=$N41)*(MONTH('DON-HANG'!$B$5:$B$1000)=$B$3)*(YEAR('DON-HANG'!$B$5:$B$1000)=$E$3)*'DON-HANG'!$G$5:$G$1000)</f>
        <v>0</v>
      </c>
    </row>
    <row r="42" spans="14:15" ht="14.25" customHeight="1" x14ac:dyDescent="0.3">
      <c r="N42" s="24" t="s">
        <v>157</v>
      </c>
      <c r="O42" s="23">
        <f>SUMPRODUCT(('DON-HANG'!$D$5:$D$1000=$N42)*(MONTH('DON-HANG'!$B$5:$B$1000)=$B$3)*(YEAR('DON-HANG'!$B$5:$B$1000)=$E$3)*'DON-HANG'!$G$5:$G$1000)</f>
        <v>1560000</v>
      </c>
    </row>
    <row r="43" spans="14:15" ht="14.25" customHeight="1" x14ac:dyDescent="0.3">
      <c r="N43" s="24" t="s">
        <v>158</v>
      </c>
      <c r="O43" s="23">
        <f>SUMPRODUCT(('DON-HANG'!$D$5:$D$1000=$N43)*(MONTH('DON-HANG'!$B$5:$B$1000)=$B$3)*(YEAR('DON-HANG'!$B$5:$B$1000)=$E$3)*'DON-HANG'!$G$5:$G$1000)</f>
        <v>300000</v>
      </c>
    </row>
    <row r="44" spans="14:15" ht="14.25" customHeight="1" x14ac:dyDescent="0.3">
      <c r="N44" s="24" t="s">
        <v>159</v>
      </c>
      <c r="O44" s="23">
        <f>SUMPRODUCT(('DON-HANG'!$D$5:$D$1000=$N44)*(MONTH('DON-HANG'!$B$5:$B$1000)=$B$3)*(YEAR('DON-HANG'!$B$5:$B$1000)=$E$3)*'DON-HANG'!$G$5:$G$1000)</f>
        <v>0</v>
      </c>
    </row>
    <row r="45" spans="14:15" ht="14.25" customHeight="1" x14ac:dyDescent="0.3">
      <c r="N45" s="24" t="s">
        <v>160</v>
      </c>
      <c r="O45" s="23">
        <f>SUMPRODUCT(('DON-HANG'!$D$5:$D$1000=$N45)*(MONTH('DON-HANG'!$B$5:$B$1000)=$B$3)*(YEAR('DON-HANG'!$B$5:$B$1000)=$E$3)*'DON-HANG'!$G$5:$G$1000)</f>
        <v>0</v>
      </c>
    </row>
  </sheetData>
  <sheetProtection sheet="1" formatCells="0" formatColumns="0" formatRows="0" insertColumns="0" insertRows="0" deleteColumns="0" deleteRows="0" sort="0" autoFilter="0"/>
  <mergeCells count="24">
    <mergeCell ref="A17:K17"/>
    <mergeCell ref="A12:C12"/>
    <mergeCell ref="E12:G12"/>
    <mergeCell ref="I12:K12"/>
    <mergeCell ref="A14:K14"/>
    <mergeCell ref="A16:K16"/>
    <mergeCell ref="A9:C9"/>
    <mergeCell ref="E9:G9"/>
    <mergeCell ref="I9:K9"/>
    <mergeCell ref="A11:C11"/>
    <mergeCell ref="E11:G11"/>
    <mergeCell ref="I11:K11"/>
    <mergeCell ref="A6:C6"/>
    <mergeCell ref="E6:G6"/>
    <mergeCell ref="I6:K6"/>
    <mergeCell ref="A8:C8"/>
    <mergeCell ref="E8:G8"/>
    <mergeCell ref="I8:K8"/>
    <mergeCell ref="A1:I1"/>
    <mergeCell ref="J1:K1"/>
    <mergeCell ref="F3:I3"/>
    <mergeCell ref="A5:C5"/>
    <mergeCell ref="E5:G5"/>
    <mergeCell ref="I5:K5"/>
  </mergeCells>
  <dataValidations count="2">
    <dataValidation type="list" sqref="B3" xr:uid="{00000000-0002-0000-0200-000000000000}">
      <formula1>"1,2,3,4,5,6,7,8,9,10,11,12"</formula1>
      <formula2>0</formula2>
    </dataValidation>
    <dataValidation type="list" sqref="E3" xr:uid="{00000000-0002-0000-0200-000001000000}">
      <formula1>NAM_LIST</formula1>
      <formula2>0</formula2>
    </dataValidation>
  </dataValidations>
  <hyperlinks>
    <hyperlink ref="J1" location="'MUC-LUC'!A1" display="« MỤC LỤC" xr:uid="{00000000-0004-0000-0200-000000000000}"/>
  </hyperlinks>
  <pageMargins left="0.75" right="0.75" top="1" bottom="1" header="0.511811023622047" footer="0.511811023622047"/>
  <pageSetup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3"/>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8.6640625" defaultRowHeight="14.4" x14ac:dyDescent="0.3"/>
  <cols>
    <col min="1" max="1" width="8" style="13" customWidth="1"/>
    <col min="2" max="2" width="20" style="13" customWidth="1"/>
    <col min="3" max="3" width="16" style="13" customWidth="1"/>
    <col min="4" max="4" width="14" style="13" customWidth="1"/>
    <col min="5" max="5" width="13" style="13" customWidth="1"/>
    <col min="6" max="6" width="22" style="13" customWidth="1"/>
    <col min="7" max="7" width="28" style="13" customWidth="1"/>
    <col min="8" max="9" width="12" style="13" customWidth="1"/>
    <col min="10" max="11" width="24" style="13" customWidth="1"/>
    <col min="12" max="12" width="15" style="13" customWidth="1"/>
    <col min="13" max="13" width="7" style="13" customWidth="1"/>
    <col min="14" max="14" width="14" style="13" customWidth="1"/>
    <col min="15" max="15" width="13" style="13" customWidth="1"/>
    <col min="16" max="16" width="14" style="13" customWidth="1"/>
    <col min="17" max="17" width="18" style="13" customWidth="1"/>
  </cols>
  <sheetData>
    <row r="1" spans="1:17" ht="27.75" customHeight="1" x14ac:dyDescent="0.3">
      <c r="A1" s="12" t="s">
        <v>161</v>
      </c>
      <c r="B1" s="12"/>
      <c r="C1" s="12"/>
      <c r="D1" s="12"/>
      <c r="E1" s="12"/>
      <c r="F1" s="12"/>
      <c r="G1" s="12"/>
      <c r="H1" s="12"/>
      <c r="I1" s="12"/>
      <c r="J1" s="12"/>
      <c r="K1" s="12"/>
      <c r="L1" s="12"/>
      <c r="M1" s="12"/>
      <c r="N1" s="12"/>
      <c r="O1" s="12"/>
      <c r="P1" s="11" t="s">
        <v>1</v>
      </c>
      <c r="Q1" s="11"/>
    </row>
    <row r="2" spans="1:17" ht="30" customHeight="1" x14ac:dyDescent="0.3">
      <c r="A2" s="95" t="s">
        <v>162</v>
      </c>
      <c r="B2" s="95"/>
      <c r="C2" s="95"/>
      <c r="D2" s="95"/>
      <c r="E2" s="95"/>
      <c r="F2" s="95"/>
      <c r="G2" s="95"/>
      <c r="H2" s="95"/>
      <c r="I2" s="95"/>
      <c r="J2" s="95"/>
      <c r="K2" s="95"/>
      <c r="L2" s="95"/>
      <c r="M2" s="95"/>
      <c r="N2" s="95"/>
      <c r="O2" s="95"/>
      <c r="P2" s="95"/>
      <c r="Q2" s="95"/>
    </row>
    <row r="3" spans="1:17" ht="30" customHeight="1" x14ac:dyDescent="0.3">
      <c r="A3" s="25" t="s">
        <v>163</v>
      </c>
      <c r="B3" s="25" t="s">
        <v>164</v>
      </c>
      <c r="C3" s="25" t="s">
        <v>165</v>
      </c>
      <c r="D3" s="25" t="s">
        <v>166</v>
      </c>
      <c r="E3" s="25" t="s">
        <v>167</v>
      </c>
      <c r="F3" s="25" t="s">
        <v>168</v>
      </c>
      <c r="G3" s="25" t="s">
        <v>169</v>
      </c>
      <c r="H3" s="25" t="s">
        <v>170</v>
      </c>
      <c r="I3" s="25" t="s">
        <v>171</v>
      </c>
      <c r="J3" s="26" t="s">
        <v>172</v>
      </c>
      <c r="K3" s="26" t="s">
        <v>173</v>
      </c>
      <c r="L3" s="26" t="s">
        <v>174</v>
      </c>
      <c r="M3" s="27" t="s">
        <v>175</v>
      </c>
      <c r="N3" s="27" t="s">
        <v>176</v>
      </c>
      <c r="O3" s="27" t="s">
        <v>177</v>
      </c>
      <c r="P3" s="28" t="s">
        <v>178</v>
      </c>
      <c r="Q3" s="25" t="s">
        <v>179</v>
      </c>
    </row>
    <row r="4" spans="1:17" ht="30" customHeight="1" x14ac:dyDescent="0.3">
      <c r="A4" s="29" t="s">
        <v>180</v>
      </c>
      <c r="B4" s="30" t="s">
        <v>181</v>
      </c>
      <c r="C4" s="30"/>
      <c r="D4" s="29"/>
      <c r="E4" s="29" t="s">
        <v>182</v>
      </c>
      <c r="F4" s="30"/>
      <c r="G4" s="30" t="s">
        <v>183</v>
      </c>
      <c r="H4" s="29" t="s">
        <v>158</v>
      </c>
      <c r="I4" s="29" t="s">
        <v>184</v>
      </c>
      <c r="J4" s="30"/>
      <c r="K4" s="30" t="s">
        <v>185</v>
      </c>
      <c r="L4" s="30" t="s">
        <v>186</v>
      </c>
      <c r="M4" s="31">
        <f>IF($B4="","",COUNTIF('DON-HANG'!$C$5:$C$1000,$B4))</f>
        <v>1</v>
      </c>
      <c r="N4" s="31">
        <f>IF($B4="","",SUMIF('DON-HANG'!$C$5:$C$1000,$B4,'DON-HANG'!$G$5:$G$1000))</f>
        <v>300000</v>
      </c>
      <c r="O4" s="32">
        <f>IF(OR($B4="",M4=0),"",SUMPRODUCT(MAX(('DON-HANG'!$C$5:$C$1000=$B4)*'DON-HANG'!$B$5:$B$1000)))</f>
        <v>46175</v>
      </c>
      <c r="P4" s="33" t="str">
        <f t="shared" ref="P4:P43" si="0">IF($B4="","",IF(AND($E4&lt;&gt;"",COUNTIF($E$4:$E$43,$E4)&gt;1),"TRÙNG SĐT",IF(AND($F4&lt;&gt;"",COUNTIF($F$4:$F$43,$F4)&gt;1),"TRÙNG EMAIL",IF(AND($A4&lt;&gt;"",COUNTIF($A$4:$A$43,$A4)&gt;1),"TRÙNG MÃ",""))))</f>
        <v/>
      </c>
      <c r="Q4" s="30" t="s">
        <v>187</v>
      </c>
    </row>
    <row r="5" spans="1:17" ht="30" customHeight="1" x14ac:dyDescent="0.3">
      <c r="A5" s="29" t="s">
        <v>188</v>
      </c>
      <c r="B5" s="30" t="s">
        <v>189</v>
      </c>
      <c r="C5" s="30"/>
      <c r="D5" s="29"/>
      <c r="E5" s="29" t="s">
        <v>190</v>
      </c>
      <c r="F5" s="30"/>
      <c r="G5" s="30" t="s">
        <v>183</v>
      </c>
      <c r="H5" s="29" t="s">
        <v>157</v>
      </c>
      <c r="I5" s="29" t="s">
        <v>191</v>
      </c>
      <c r="J5" s="34" t="s">
        <v>192</v>
      </c>
      <c r="K5" s="30" t="s">
        <v>193</v>
      </c>
      <c r="L5" s="34" t="s">
        <v>194</v>
      </c>
      <c r="M5" s="31">
        <f>IF($B5="","",COUNTIF('DON-HANG'!$C$5:$C$1000,$B5))</f>
        <v>2</v>
      </c>
      <c r="N5" s="31">
        <f>IF($B5="","",SUMIF('DON-HANG'!$C$5:$C$1000,$B5,'DON-HANG'!$G$5:$G$1000))</f>
        <v>1560000</v>
      </c>
      <c r="O5" s="32">
        <f>IF(OR($B5="",M5=0),"",SUMPRODUCT(MAX(('DON-HANG'!$C$5:$C$1000=$B5)*'DON-HANG'!$B$5:$B$1000)))</f>
        <v>46178</v>
      </c>
      <c r="P5" s="33" t="str">
        <f t="shared" si="0"/>
        <v/>
      </c>
      <c r="Q5" s="30" t="s">
        <v>195</v>
      </c>
    </row>
    <row r="6" spans="1:17" ht="30" customHeight="1" x14ac:dyDescent="0.3">
      <c r="A6" s="29" t="s">
        <v>196</v>
      </c>
      <c r="B6" s="30" t="s">
        <v>197</v>
      </c>
      <c r="C6" s="30"/>
      <c r="D6" s="29"/>
      <c r="E6" s="35" t="s">
        <v>198</v>
      </c>
      <c r="F6" s="36"/>
      <c r="G6" s="30" t="s">
        <v>183</v>
      </c>
      <c r="H6" s="29" t="s">
        <v>199</v>
      </c>
      <c r="I6" s="29" t="s">
        <v>200</v>
      </c>
      <c r="J6" s="34"/>
      <c r="K6" s="34" t="s">
        <v>201</v>
      </c>
      <c r="L6" s="34"/>
      <c r="M6" s="31">
        <f>IF($B6="","",COUNTIF('DON-HANG'!$C$5:$C$1000,$B6))</f>
        <v>0</v>
      </c>
      <c r="N6" s="31">
        <f>IF($B6="","",SUMIF('DON-HANG'!$C$5:$C$1000,$B6,'DON-HANG'!$G$5:$G$1000))</f>
        <v>0</v>
      </c>
      <c r="O6" s="32" t="str">
        <f>IF(OR($B6="",M6=0),"",SUMPRODUCT(MAX(('DON-HANG'!$C$5:$C$1000=$B6)*'DON-HANG'!$B$5:$B$1000)))</f>
        <v/>
      </c>
      <c r="P6" s="33" t="str">
        <f t="shared" si="0"/>
        <v/>
      </c>
      <c r="Q6" s="34" t="s">
        <v>202</v>
      </c>
    </row>
    <row r="7" spans="1:17" ht="30" customHeight="1" x14ac:dyDescent="0.3">
      <c r="A7" s="29"/>
      <c r="B7" s="30"/>
      <c r="C7" s="30"/>
      <c r="D7" s="29"/>
      <c r="E7" s="29"/>
      <c r="F7" s="30"/>
      <c r="G7" s="30"/>
      <c r="H7" s="29"/>
      <c r="I7" s="29"/>
      <c r="J7" s="30"/>
      <c r="K7" s="30"/>
      <c r="L7" s="30"/>
      <c r="M7" s="31" t="str">
        <f>IF($B7="","",COUNTIF('DON-HANG'!$C$5:$C$1000,$B7))</f>
        <v/>
      </c>
      <c r="N7" s="31" t="str">
        <f>IF($B7="","",SUMIF('DON-HANG'!$C$5:$C$1000,$B7,'DON-HANG'!$G$5:$G$1000))</f>
        <v/>
      </c>
      <c r="O7" s="32" t="str">
        <f>IF(OR($B7="",M7=0),"",SUMPRODUCT(MAX(('DON-HANG'!$C$5:$C$1000=$B7)*'DON-HANG'!$B$5:$B$1000)))</f>
        <v/>
      </c>
      <c r="P7" s="33" t="str">
        <f t="shared" si="0"/>
        <v/>
      </c>
      <c r="Q7" s="30"/>
    </row>
    <row r="8" spans="1:17" ht="30" customHeight="1" x14ac:dyDescent="0.3">
      <c r="A8" s="29"/>
      <c r="B8" s="30"/>
      <c r="C8" s="30"/>
      <c r="D8" s="29"/>
      <c r="E8" s="29"/>
      <c r="F8" s="30"/>
      <c r="G8" s="30"/>
      <c r="H8" s="29"/>
      <c r="I8" s="29"/>
      <c r="J8" s="30"/>
      <c r="K8" s="30"/>
      <c r="L8" s="30"/>
      <c r="M8" s="31" t="str">
        <f>IF($B8="","",COUNTIF('DON-HANG'!$C$5:$C$1000,$B8))</f>
        <v/>
      </c>
      <c r="N8" s="31" t="str">
        <f>IF($B8="","",SUMIF('DON-HANG'!$C$5:$C$1000,$B8,'DON-HANG'!$G$5:$G$1000))</f>
        <v/>
      </c>
      <c r="O8" s="32" t="str">
        <f>IF(OR($B8="",M8=0),"",SUMPRODUCT(MAX(('DON-HANG'!$C$5:$C$1000=$B8)*'DON-HANG'!$B$5:$B$1000)))</f>
        <v/>
      </c>
      <c r="P8" s="33" t="str">
        <f t="shared" si="0"/>
        <v/>
      </c>
      <c r="Q8" s="30"/>
    </row>
    <row r="9" spans="1:17" ht="30" customHeight="1" x14ac:dyDescent="0.3">
      <c r="A9" s="29"/>
      <c r="B9" s="30"/>
      <c r="C9" s="30"/>
      <c r="D9" s="29"/>
      <c r="E9" s="29"/>
      <c r="F9" s="30"/>
      <c r="G9" s="30"/>
      <c r="H9" s="29"/>
      <c r="I9" s="29"/>
      <c r="J9" s="30"/>
      <c r="K9" s="30"/>
      <c r="L9" s="30"/>
      <c r="M9" s="31" t="str">
        <f>IF($B9="","",COUNTIF('DON-HANG'!$C$5:$C$1000,$B9))</f>
        <v/>
      </c>
      <c r="N9" s="31" t="str">
        <f>IF($B9="","",SUMIF('DON-HANG'!$C$5:$C$1000,$B9,'DON-HANG'!$G$5:$G$1000))</f>
        <v/>
      </c>
      <c r="O9" s="32" t="str">
        <f>IF(OR($B9="",M9=0),"",SUMPRODUCT(MAX(('DON-HANG'!$C$5:$C$1000=$B9)*'DON-HANG'!$B$5:$B$1000)))</f>
        <v/>
      </c>
      <c r="P9" s="33" t="str">
        <f t="shared" si="0"/>
        <v/>
      </c>
      <c r="Q9" s="30"/>
    </row>
    <row r="10" spans="1:17" ht="30" customHeight="1" x14ac:dyDescent="0.3">
      <c r="A10" s="29"/>
      <c r="B10" s="30"/>
      <c r="C10" s="30"/>
      <c r="D10" s="29"/>
      <c r="E10" s="29"/>
      <c r="F10" s="30"/>
      <c r="G10" s="30"/>
      <c r="H10" s="29"/>
      <c r="I10" s="29"/>
      <c r="J10" s="30"/>
      <c r="K10" s="30"/>
      <c r="L10" s="30"/>
      <c r="M10" s="31" t="str">
        <f>IF($B10="","",COUNTIF('DON-HANG'!$C$5:$C$1000,$B10))</f>
        <v/>
      </c>
      <c r="N10" s="31" t="str">
        <f>IF($B10="","",SUMIF('DON-HANG'!$C$5:$C$1000,$B10,'DON-HANG'!$G$5:$G$1000))</f>
        <v/>
      </c>
      <c r="O10" s="32" t="str">
        <f>IF(OR($B10="",M10=0),"",SUMPRODUCT(MAX(('DON-HANG'!$C$5:$C$1000=$B10)*'DON-HANG'!$B$5:$B$1000)))</f>
        <v/>
      </c>
      <c r="P10" s="33" t="str">
        <f t="shared" si="0"/>
        <v/>
      </c>
      <c r="Q10" s="30"/>
    </row>
    <row r="11" spans="1:17" ht="30" customHeight="1" x14ac:dyDescent="0.3">
      <c r="A11" s="29"/>
      <c r="B11" s="30"/>
      <c r="C11" s="30"/>
      <c r="D11" s="29"/>
      <c r="E11" s="29"/>
      <c r="F11" s="30"/>
      <c r="G11" s="30"/>
      <c r="H11" s="29"/>
      <c r="I11" s="29"/>
      <c r="J11" s="30"/>
      <c r="K11" s="30"/>
      <c r="L11" s="30"/>
      <c r="M11" s="31" t="str">
        <f>IF($B11="","",COUNTIF('DON-HANG'!$C$5:$C$1000,$B11))</f>
        <v/>
      </c>
      <c r="N11" s="31" t="str">
        <f>IF($B11="","",SUMIF('DON-HANG'!$C$5:$C$1000,$B11,'DON-HANG'!$G$5:$G$1000))</f>
        <v/>
      </c>
      <c r="O11" s="32" t="str">
        <f>IF(OR($B11="",M11=0),"",SUMPRODUCT(MAX(('DON-HANG'!$C$5:$C$1000=$B11)*'DON-HANG'!$B$5:$B$1000)))</f>
        <v/>
      </c>
      <c r="P11" s="33" t="str">
        <f t="shared" si="0"/>
        <v/>
      </c>
      <c r="Q11" s="30"/>
    </row>
    <row r="12" spans="1:17" ht="30" customHeight="1" x14ac:dyDescent="0.3">
      <c r="A12" s="29"/>
      <c r="B12" s="30"/>
      <c r="C12" s="30"/>
      <c r="D12" s="29"/>
      <c r="E12" s="29"/>
      <c r="F12" s="30"/>
      <c r="G12" s="30"/>
      <c r="H12" s="29"/>
      <c r="I12" s="29"/>
      <c r="J12" s="30"/>
      <c r="K12" s="30"/>
      <c r="L12" s="30"/>
      <c r="M12" s="31" t="str">
        <f>IF($B12="","",COUNTIF('DON-HANG'!$C$5:$C$1000,$B12))</f>
        <v/>
      </c>
      <c r="N12" s="31" t="str">
        <f>IF($B12="","",SUMIF('DON-HANG'!$C$5:$C$1000,$B12,'DON-HANG'!$G$5:$G$1000))</f>
        <v/>
      </c>
      <c r="O12" s="32" t="str">
        <f>IF(OR($B12="",M12=0),"",SUMPRODUCT(MAX(('DON-HANG'!$C$5:$C$1000=$B12)*'DON-HANG'!$B$5:$B$1000)))</f>
        <v/>
      </c>
      <c r="P12" s="33" t="str">
        <f t="shared" si="0"/>
        <v/>
      </c>
      <c r="Q12" s="30"/>
    </row>
    <row r="13" spans="1:17" ht="30" customHeight="1" x14ac:dyDescent="0.3">
      <c r="A13" s="29"/>
      <c r="B13" s="30"/>
      <c r="C13" s="30"/>
      <c r="D13" s="29"/>
      <c r="E13" s="29"/>
      <c r="F13" s="30"/>
      <c r="G13" s="30"/>
      <c r="H13" s="29"/>
      <c r="I13" s="29"/>
      <c r="J13" s="30"/>
      <c r="K13" s="30"/>
      <c r="L13" s="30"/>
      <c r="M13" s="31" t="str">
        <f>IF($B13="","",COUNTIF('DON-HANG'!$C$5:$C$1000,$B13))</f>
        <v/>
      </c>
      <c r="N13" s="31" t="str">
        <f>IF($B13="","",SUMIF('DON-HANG'!$C$5:$C$1000,$B13,'DON-HANG'!$G$5:$G$1000))</f>
        <v/>
      </c>
      <c r="O13" s="32" t="str">
        <f>IF(OR($B13="",M13=0),"",SUMPRODUCT(MAX(('DON-HANG'!$C$5:$C$1000=$B13)*'DON-HANG'!$B$5:$B$1000)))</f>
        <v/>
      </c>
      <c r="P13" s="33" t="str">
        <f t="shared" si="0"/>
        <v/>
      </c>
      <c r="Q13" s="30"/>
    </row>
    <row r="14" spans="1:17" ht="30" customHeight="1" x14ac:dyDescent="0.3">
      <c r="A14" s="29"/>
      <c r="B14" s="30"/>
      <c r="C14" s="30"/>
      <c r="D14" s="29"/>
      <c r="E14" s="29"/>
      <c r="F14" s="30"/>
      <c r="G14" s="30"/>
      <c r="H14" s="29"/>
      <c r="I14" s="29"/>
      <c r="J14" s="30"/>
      <c r="K14" s="30"/>
      <c r="L14" s="30"/>
      <c r="M14" s="31" t="str">
        <f>IF($B14="","",COUNTIF('DON-HANG'!$C$5:$C$1000,$B14))</f>
        <v/>
      </c>
      <c r="N14" s="31" t="str">
        <f>IF($B14="","",SUMIF('DON-HANG'!$C$5:$C$1000,$B14,'DON-HANG'!$G$5:$G$1000))</f>
        <v/>
      </c>
      <c r="O14" s="32" t="str">
        <f>IF(OR($B14="",M14=0),"",SUMPRODUCT(MAX(('DON-HANG'!$C$5:$C$1000=$B14)*'DON-HANG'!$B$5:$B$1000)))</f>
        <v/>
      </c>
      <c r="P14" s="33" t="str">
        <f t="shared" si="0"/>
        <v/>
      </c>
      <c r="Q14" s="30"/>
    </row>
    <row r="15" spans="1:17" ht="30" customHeight="1" x14ac:dyDescent="0.3">
      <c r="A15" s="29"/>
      <c r="B15" s="30"/>
      <c r="C15" s="30"/>
      <c r="D15" s="29"/>
      <c r="E15" s="29"/>
      <c r="F15" s="30"/>
      <c r="G15" s="30"/>
      <c r="H15" s="29"/>
      <c r="I15" s="29"/>
      <c r="J15" s="30"/>
      <c r="K15" s="30"/>
      <c r="L15" s="30"/>
      <c r="M15" s="31" t="str">
        <f>IF($B15="","",COUNTIF('DON-HANG'!$C$5:$C$1000,$B15))</f>
        <v/>
      </c>
      <c r="N15" s="31" t="str">
        <f>IF($B15="","",SUMIF('DON-HANG'!$C$5:$C$1000,$B15,'DON-HANG'!$G$5:$G$1000))</f>
        <v/>
      </c>
      <c r="O15" s="32" t="str">
        <f>IF(OR($B15="",M15=0),"",SUMPRODUCT(MAX(('DON-HANG'!$C$5:$C$1000=$B15)*'DON-HANG'!$B$5:$B$1000)))</f>
        <v/>
      </c>
      <c r="P15" s="33" t="str">
        <f t="shared" si="0"/>
        <v/>
      </c>
      <c r="Q15" s="30"/>
    </row>
    <row r="16" spans="1:17" ht="30" customHeight="1" x14ac:dyDescent="0.3">
      <c r="A16" s="29"/>
      <c r="B16" s="30"/>
      <c r="C16" s="30"/>
      <c r="D16" s="29"/>
      <c r="E16" s="29"/>
      <c r="F16" s="30"/>
      <c r="G16" s="30"/>
      <c r="H16" s="29"/>
      <c r="I16" s="29"/>
      <c r="J16" s="30"/>
      <c r="K16" s="30"/>
      <c r="L16" s="30"/>
      <c r="M16" s="31" t="str">
        <f>IF($B16="","",COUNTIF('DON-HANG'!$C$5:$C$1000,$B16))</f>
        <v/>
      </c>
      <c r="N16" s="31" t="str">
        <f>IF($B16="","",SUMIF('DON-HANG'!$C$5:$C$1000,$B16,'DON-HANG'!$G$5:$G$1000))</f>
        <v/>
      </c>
      <c r="O16" s="32" t="str">
        <f>IF(OR($B16="",M16=0),"",SUMPRODUCT(MAX(('DON-HANG'!$C$5:$C$1000=$B16)*'DON-HANG'!$B$5:$B$1000)))</f>
        <v/>
      </c>
      <c r="P16" s="33" t="str">
        <f t="shared" si="0"/>
        <v/>
      </c>
      <c r="Q16" s="30"/>
    </row>
    <row r="17" spans="1:17" ht="30" customHeight="1" x14ac:dyDescent="0.3">
      <c r="A17" s="29"/>
      <c r="B17" s="30"/>
      <c r="C17" s="30"/>
      <c r="D17" s="29"/>
      <c r="E17" s="29"/>
      <c r="F17" s="30"/>
      <c r="G17" s="30"/>
      <c r="H17" s="29"/>
      <c r="I17" s="29"/>
      <c r="J17" s="30"/>
      <c r="K17" s="30"/>
      <c r="L17" s="30"/>
      <c r="M17" s="31" t="str">
        <f>IF($B17="","",COUNTIF('DON-HANG'!$C$5:$C$1000,$B17))</f>
        <v/>
      </c>
      <c r="N17" s="31" t="str">
        <f>IF($B17="","",SUMIF('DON-HANG'!$C$5:$C$1000,$B17,'DON-HANG'!$G$5:$G$1000))</f>
        <v/>
      </c>
      <c r="O17" s="32" t="str">
        <f>IF(OR($B17="",M17=0),"",SUMPRODUCT(MAX(('DON-HANG'!$C$5:$C$1000=$B17)*'DON-HANG'!$B$5:$B$1000)))</f>
        <v/>
      </c>
      <c r="P17" s="33" t="str">
        <f t="shared" si="0"/>
        <v/>
      </c>
      <c r="Q17" s="30"/>
    </row>
    <row r="18" spans="1:17" ht="30" customHeight="1" x14ac:dyDescent="0.3">
      <c r="A18" s="29"/>
      <c r="B18" s="30"/>
      <c r="C18" s="30"/>
      <c r="D18" s="29"/>
      <c r="E18" s="29"/>
      <c r="F18" s="30"/>
      <c r="G18" s="30"/>
      <c r="H18" s="29"/>
      <c r="I18" s="29"/>
      <c r="J18" s="30"/>
      <c r="K18" s="30"/>
      <c r="L18" s="30"/>
      <c r="M18" s="31" t="str">
        <f>IF($B18="","",COUNTIF('DON-HANG'!$C$5:$C$1000,$B18))</f>
        <v/>
      </c>
      <c r="N18" s="31" t="str">
        <f>IF($B18="","",SUMIF('DON-HANG'!$C$5:$C$1000,$B18,'DON-HANG'!$G$5:$G$1000))</f>
        <v/>
      </c>
      <c r="O18" s="32" t="str">
        <f>IF(OR($B18="",M18=0),"",SUMPRODUCT(MAX(('DON-HANG'!$C$5:$C$1000=$B18)*'DON-HANG'!$B$5:$B$1000)))</f>
        <v/>
      </c>
      <c r="P18" s="33" t="str">
        <f t="shared" si="0"/>
        <v/>
      </c>
      <c r="Q18" s="30"/>
    </row>
    <row r="19" spans="1:17" ht="30" customHeight="1" x14ac:dyDescent="0.3">
      <c r="A19" s="29"/>
      <c r="B19" s="30"/>
      <c r="C19" s="30"/>
      <c r="D19" s="29"/>
      <c r="E19" s="29"/>
      <c r="F19" s="30"/>
      <c r="G19" s="30"/>
      <c r="H19" s="29"/>
      <c r="I19" s="29"/>
      <c r="J19" s="30"/>
      <c r="K19" s="30"/>
      <c r="L19" s="30"/>
      <c r="M19" s="31" t="str">
        <f>IF($B19="","",COUNTIF('DON-HANG'!$C$5:$C$1000,$B19))</f>
        <v/>
      </c>
      <c r="N19" s="31" t="str">
        <f>IF($B19="","",SUMIF('DON-HANG'!$C$5:$C$1000,$B19,'DON-HANG'!$G$5:$G$1000))</f>
        <v/>
      </c>
      <c r="O19" s="32" t="str">
        <f>IF(OR($B19="",M19=0),"",SUMPRODUCT(MAX(('DON-HANG'!$C$5:$C$1000=$B19)*'DON-HANG'!$B$5:$B$1000)))</f>
        <v/>
      </c>
      <c r="P19" s="33" t="str">
        <f t="shared" si="0"/>
        <v/>
      </c>
      <c r="Q19" s="30"/>
    </row>
    <row r="20" spans="1:17" ht="30" customHeight="1" x14ac:dyDescent="0.3">
      <c r="A20" s="29"/>
      <c r="B20" s="30"/>
      <c r="C20" s="30"/>
      <c r="D20" s="29"/>
      <c r="E20" s="29"/>
      <c r="F20" s="30"/>
      <c r="G20" s="30"/>
      <c r="H20" s="29"/>
      <c r="I20" s="29"/>
      <c r="J20" s="30"/>
      <c r="K20" s="30"/>
      <c r="L20" s="30"/>
      <c r="M20" s="31" t="str">
        <f>IF($B20="","",COUNTIF('DON-HANG'!$C$5:$C$1000,$B20))</f>
        <v/>
      </c>
      <c r="N20" s="31" t="str">
        <f>IF($B20="","",SUMIF('DON-HANG'!$C$5:$C$1000,$B20,'DON-HANG'!$G$5:$G$1000))</f>
        <v/>
      </c>
      <c r="O20" s="32" t="str">
        <f>IF(OR($B20="",M20=0),"",SUMPRODUCT(MAX(('DON-HANG'!$C$5:$C$1000=$B20)*'DON-HANG'!$B$5:$B$1000)))</f>
        <v/>
      </c>
      <c r="P20" s="33" t="str">
        <f t="shared" si="0"/>
        <v/>
      </c>
      <c r="Q20" s="30"/>
    </row>
    <row r="21" spans="1:17" ht="30" customHeight="1" x14ac:dyDescent="0.3">
      <c r="A21" s="29"/>
      <c r="B21" s="30"/>
      <c r="C21" s="30"/>
      <c r="D21" s="29"/>
      <c r="E21" s="29"/>
      <c r="F21" s="30"/>
      <c r="G21" s="30"/>
      <c r="H21" s="29"/>
      <c r="I21" s="29"/>
      <c r="J21" s="30"/>
      <c r="K21" s="30"/>
      <c r="L21" s="30"/>
      <c r="M21" s="31" t="str">
        <f>IF($B21="","",COUNTIF('DON-HANG'!$C$5:$C$1000,$B21))</f>
        <v/>
      </c>
      <c r="N21" s="31" t="str">
        <f>IF($B21="","",SUMIF('DON-HANG'!$C$5:$C$1000,$B21,'DON-HANG'!$G$5:$G$1000))</f>
        <v/>
      </c>
      <c r="O21" s="32" t="str">
        <f>IF(OR($B21="",M21=0),"",SUMPRODUCT(MAX(('DON-HANG'!$C$5:$C$1000=$B21)*'DON-HANG'!$B$5:$B$1000)))</f>
        <v/>
      </c>
      <c r="P21" s="33" t="str">
        <f t="shared" si="0"/>
        <v/>
      </c>
      <c r="Q21" s="30"/>
    </row>
    <row r="22" spans="1:17" ht="30" customHeight="1" x14ac:dyDescent="0.3">
      <c r="A22" s="29"/>
      <c r="B22" s="30"/>
      <c r="C22" s="30"/>
      <c r="D22" s="29"/>
      <c r="E22" s="29"/>
      <c r="F22" s="30"/>
      <c r="G22" s="30"/>
      <c r="H22" s="29"/>
      <c r="I22" s="29"/>
      <c r="J22" s="30"/>
      <c r="K22" s="30"/>
      <c r="L22" s="30"/>
      <c r="M22" s="31" t="str">
        <f>IF($B22="","",COUNTIF('DON-HANG'!$C$5:$C$1000,$B22))</f>
        <v/>
      </c>
      <c r="N22" s="31" t="str">
        <f>IF($B22="","",SUMIF('DON-HANG'!$C$5:$C$1000,$B22,'DON-HANG'!$G$5:$G$1000))</f>
        <v/>
      </c>
      <c r="O22" s="32" t="str">
        <f>IF(OR($B22="",M22=0),"",SUMPRODUCT(MAX(('DON-HANG'!$C$5:$C$1000=$B22)*'DON-HANG'!$B$5:$B$1000)))</f>
        <v/>
      </c>
      <c r="P22" s="33" t="str">
        <f t="shared" si="0"/>
        <v/>
      </c>
      <c r="Q22" s="30"/>
    </row>
    <row r="23" spans="1:17" ht="30" customHeight="1" x14ac:dyDescent="0.3">
      <c r="A23" s="29"/>
      <c r="B23" s="30"/>
      <c r="C23" s="30"/>
      <c r="D23" s="29"/>
      <c r="E23" s="29"/>
      <c r="F23" s="30"/>
      <c r="G23" s="30"/>
      <c r="H23" s="29"/>
      <c r="I23" s="29"/>
      <c r="J23" s="30"/>
      <c r="K23" s="30"/>
      <c r="L23" s="30"/>
      <c r="M23" s="31" t="str">
        <f>IF($B23="","",COUNTIF('DON-HANG'!$C$5:$C$1000,$B23))</f>
        <v/>
      </c>
      <c r="N23" s="31" t="str">
        <f>IF($B23="","",SUMIF('DON-HANG'!$C$5:$C$1000,$B23,'DON-HANG'!$G$5:$G$1000))</f>
        <v/>
      </c>
      <c r="O23" s="32" t="str">
        <f>IF(OR($B23="",M23=0),"",SUMPRODUCT(MAX(('DON-HANG'!$C$5:$C$1000=$B23)*'DON-HANG'!$B$5:$B$1000)))</f>
        <v/>
      </c>
      <c r="P23" s="33" t="str">
        <f t="shared" si="0"/>
        <v/>
      </c>
      <c r="Q23" s="30"/>
    </row>
    <row r="24" spans="1:17" ht="30" customHeight="1" x14ac:dyDescent="0.3">
      <c r="A24" s="29"/>
      <c r="B24" s="30"/>
      <c r="C24" s="30"/>
      <c r="D24" s="29"/>
      <c r="E24" s="29"/>
      <c r="F24" s="30"/>
      <c r="G24" s="30"/>
      <c r="H24" s="29"/>
      <c r="I24" s="29"/>
      <c r="J24" s="30"/>
      <c r="K24" s="30"/>
      <c r="L24" s="30"/>
      <c r="M24" s="31" t="str">
        <f>IF($B24="","",COUNTIF('DON-HANG'!$C$5:$C$1000,$B24))</f>
        <v/>
      </c>
      <c r="N24" s="31" t="str">
        <f>IF($B24="","",SUMIF('DON-HANG'!$C$5:$C$1000,$B24,'DON-HANG'!$G$5:$G$1000))</f>
        <v/>
      </c>
      <c r="O24" s="32" t="str">
        <f>IF(OR($B24="",M24=0),"",SUMPRODUCT(MAX(('DON-HANG'!$C$5:$C$1000=$B24)*'DON-HANG'!$B$5:$B$1000)))</f>
        <v/>
      </c>
      <c r="P24" s="33" t="str">
        <f t="shared" si="0"/>
        <v/>
      </c>
      <c r="Q24" s="30"/>
    </row>
    <row r="25" spans="1:17" ht="30" customHeight="1" x14ac:dyDescent="0.3">
      <c r="A25" s="29"/>
      <c r="B25" s="30"/>
      <c r="C25" s="30"/>
      <c r="D25" s="29"/>
      <c r="E25" s="29"/>
      <c r="F25" s="30"/>
      <c r="G25" s="30"/>
      <c r="H25" s="29"/>
      <c r="I25" s="29"/>
      <c r="J25" s="30"/>
      <c r="K25" s="30"/>
      <c r="L25" s="30"/>
      <c r="M25" s="31" t="str">
        <f>IF($B25="","",COUNTIF('DON-HANG'!$C$5:$C$1000,$B25))</f>
        <v/>
      </c>
      <c r="N25" s="31" t="str">
        <f>IF($B25="","",SUMIF('DON-HANG'!$C$5:$C$1000,$B25,'DON-HANG'!$G$5:$G$1000))</f>
        <v/>
      </c>
      <c r="O25" s="32" t="str">
        <f>IF(OR($B25="",M25=0),"",SUMPRODUCT(MAX(('DON-HANG'!$C$5:$C$1000=$B25)*'DON-HANG'!$B$5:$B$1000)))</f>
        <v/>
      </c>
      <c r="P25" s="33" t="str">
        <f t="shared" si="0"/>
        <v/>
      </c>
      <c r="Q25" s="30"/>
    </row>
    <row r="26" spans="1:17" ht="30" customHeight="1" x14ac:dyDescent="0.3">
      <c r="A26" s="29"/>
      <c r="B26" s="30"/>
      <c r="C26" s="30"/>
      <c r="D26" s="29"/>
      <c r="E26" s="29"/>
      <c r="F26" s="30"/>
      <c r="G26" s="30"/>
      <c r="H26" s="29"/>
      <c r="I26" s="29"/>
      <c r="J26" s="30"/>
      <c r="K26" s="30"/>
      <c r="L26" s="30"/>
      <c r="M26" s="31" t="str">
        <f>IF($B26="","",COUNTIF('DON-HANG'!$C$5:$C$1000,$B26))</f>
        <v/>
      </c>
      <c r="N26" s="31" t="str">
        <f>IF($B26="","",SUMIF('DON-HANG'!$C$5:$C$1000,$B26,'DON-HANG'!$G$5:$G$1000))</f>
        <v/>
      </c>
      <c r="O26" s="32" t="str">
        <f>IF(OR($B26="",M26=0),"",SUMPRODUCT(MAX(('DON-HANG'!$C$5:$C$1000=$B26)*'DON-HANG'!$B$5:$B$1000)))</f>
        <v/>
      </c>
      <c r="P26" s="33" t="str">
        <f t="shared" si="0"/>
        <v/>
      </c>
      <c r="Q26" s="30"/>
    </row>
    <row r="27" spans="1:17" ht="30" customHeight="1" x14ac:dyDescent="0.3">
      <c r="A27" s="29"/>
      <c r="B27" s="30"/>
      <c r="C27" s="30"/>
      <c r="D27" s="29"/>
      <c r="E27" s="29"/>
      <c r="F27" s="30"/>
      <c r="G27" s="30"/>
      <c r="H27" s="29"/>
      <c r="I27" s="29"/>
      <c r="J27" s="30"/>
      <c r="K27" s="30"/>
      <c r="L27" s="30"/>
      <c r="M27" s="31" t="str">
        <f>IF($B27="","",COUNTIF('DON-HANG'!$C$5:$C$1000,$B27))</f>
        <v/>
      </c>
      <c r="N27" s="31" t="str">
        <f>IF($B27="","",SUMIF('DON-HANG'!$C$5:$C$1000,$B27,'DON-HANG'!$G$5:$G$1000))</f>
        <v/>
      </c>
      <c r="O27" s="32" t="str">
        <f>IF(OR($B27="",M27=0),"",SUMPRODUCT(MAX(('DON-HANG'!$C$5:$C$1000=$B27)*'DON-HANG'!$B$5:$B$1000)))</f>
        <v/>
      </c>
      <c r="P27" s="33" t="str">
        <f t="shared" si="0"/>
        <v/>
      </c>
      <c r="Q27" s="30"/>
    </row>
    <row r="28" spans="1:17" ht="30" customHeight="1" x14ac:dyDescent="0.3">
      <c r="A28" s="29"/>
      <c r="B28" s="30"/>
      <c r="C28" s="30"/>
      <c r="D28" s="29"/>
      <c r="E28" s="29"/>
      <c r="F28" s="30"/>
      <c r="G28" s="30"/>
      <c r="H28" s="29"/>
      <c r="I28" s="29"/>
      <c r="J28" s="30"/>
      <c r="K28" s="30"/>
      <c r="L28" s="30"/>
      <c r="M28" s="31" t="str">
        <f>IF($B28="","",COUNTIF('DON-HANG'!$C$5:$C$1000,$B28))</f>
        <v/>
      </c>
      <c r="N28" s="31" t="str">
        <f>IF($B28="","",SUMIF('DON-HANG'!$C$5:$C$1000,$B28,'DON-HANG'!$G$5:$G$1000))</f>
        <v/>
      </c>
      <c r="O28" s="32" t="str">
        <f>IF(OR($B28="",M28=0),"",SUMPRODUCT(MAX(('DON-HANG'!$C$5:$C$1000=$B28)*'DON-HANG'!$B$5:$B$1000)))</f>
        <v/>
      </c>
      <c r="P28" s="33" t="str">
        <f t="shared" si="0"/>
        <v/>
      </c>
      <c r="Q28" s="30"/>
    </row>
    <row r="29" spans="1:17" ht="30" customHeight="1" x14ac:dyDescent="0.3">
      <c r="A29" s="29"/>
      <c r="B29" s="30"/>
      <c r="C29" s="30"/>
      <c r="D29" s="29"/>
      <c r="E29" s="29"/>
      <c r="F29" s="30"/>
      <c r="G29" s="30"/>
      <c r="H29" s="29"/>
      <c r="I29" s="29"/>
      <c r="J29" s="30"/>
      <c r="K29" s="30"/>
      <c r="L29" s="30"/>
      <c r="M29" s="31" t="str">
        <f>IF($B29="","",COUNTIF('DON-HANG'!$C$5:$C$1000,$B29))</f>
        <v/>
      </c>
      <c r="N29" s="31" t="str">
        <f>IF($B29="","",SUMIF('DON-HANG'!$C$5:$C$1000,$B29,'DON-HANG'!$G$5:$G$1000))</f>
        <v/>
      </c>
      <c r="O29" s="32" t="str">
        <f>IF(OR($B29="",M29=0),"",SUMPRODUCT(MAX(('DON-HANG'!$C$5:$C$1000=$B29)*'DON-HANG'!$B$5:$B$1000)))</f>
        <v/>
      </c>
      <c r="P29" s="33" t="str">
        <f t="shared" si="0"/>
        <v/>
      </c>
      <c r="Q29" s="30"/>
    </row>
    <row r="30" spans="1:17" ht="30" customHeight="1" x14ac:dyDescent="0.3">
      <c r="A30" s="29"/>
      <c r="B30" s="30"/>
      <c r="C30" s="30"/>
      <c r="D30" s="29"/>
      <c r="E30" s="29"/>
      <c r="F30" s="30"/>
      <c r="G30" s="30"/>
      <c r="H30" s="29"/>
      <c r="I30" s="29"/>
      <c r="J30" s="30"/>
      <c r="K30" s="30"/>
      <c r="L30" s="30"/>
      <c r="M30" s="31" t="str">
        <f>IF($B30="","",COUNTIF('DON-HANG'!$C$5:$C$1000,$B30))</f>
        <v/>
      </c>
      <c r="N30" s="31" t="str">
        <f>IF($B30="","",SUMIF('DON-HANG'!$C$5:$C$1000,$B30,'DON-HANG'!$G$5:$G$1000))</f>
        <v/>
      </c>
      <c r="O30" s="32" t="str">
        <f>IF(OR($B30="",M30=0),"",SUMPRODUCT(MAX(('DON-HANG'!$C$5:$C$1000=$B30)*'DON-HANG'!$B$5:$B$1000)))</f>
        <v/>
      </c>
      <c r="P30" s="33" t="str">
        <f t="shared" si="0"/>
        <v/>
      </c>
      <c r="Q30" s="30"/>
    </row>
    <row r="31" spans="1:17" ht="30" customHeight="1" x14ac:dyDescent="0.3">
      <c r="A31" s="29"/>
      <c r="B31" s="30"/>
      <c r="C31" s="30"/>
      <c r="D31" s="29"/>
      <c r="E31" s="29"/>
      <c r="F31" s="30"/>
      <c r="G31" s="30"/>
      <c r="H31" s="29"/>
      <c r="I31" s="29"/>
      <c r="J31" s="30"/>
      <c r="K31" s="30"/>
      <c r="L31" s="30"/>
      <c r="M31" s="31" t="str">
        <f>IF($B31="","",COUNTIF('DON-HANG'!$C$5:$C$1000,$B31))</f>
        <v/>
      </c>
      <c r="N31" s="31" t="str">
        <f>IF($B31="","",SUMIF('DON-HANG'!$C$5:$C$1000,$B31,'DON-HANG'!$G$5:$G$1000))</f>
        <v/>
      </c>
      <c r="O31" s="32" t="str">
        <f>IF(OR($B31="",M31=0),"",SUMPRODUCT(MAX(('DON-HANG'!$C$5:$C$1000=$B31)*'DON-HANG'!$B$5:$B$1000)))</f>
        <v/>
      </c>
      <c r="P31" s="33" t="str">
        <f t="shared" si="0"/>
        <v/>
      </c>
      <c r="Q31" s="30"/>
    </row>
    <row r="32" spans="1:17" ht="30" customHeight="1" x14ac:dyDescent="0.3">
      <c r="A32" s="29"/>
      <c r="B32" s="30"/>
      <c r="C32" s="30"/>
      <c r="D32" s="29"/>
      <c r="E32" s="29"/>
      <c r="F32" s="30"/>
      <c r="G32" s="30"/>
      <c r="H32" s="29"/>
      <c r="I32" s="29"/>
      <c r="J32" s="30"/>
      <c r="K32" s="30"/>
      <c r="L32" s="30"/>
      <c r="M32" s="31" t="str">
        <f>IF($B32="","",COUNTIF('DON-HANG'!$C$5:$C$1000,$B32))</f>
        <v/>
      </c>
      <c r="N32" s="31" t="str">
        <f>IF($B32="","",SUMIF('DON-HANG'!$C$5:$C$1000,$B32,'DON-HANG'!$G$5:$G$1000))</f>
        <v/>
      </c>
      <c r="O32" s="32" t="str">
        <f>IF(OR($B32="",M32=0),"",SUMPRODUCT(MAX(('DON-HANG'!$C$5:$C$1000=$B32)*'DON-HANG'!$B$5:$B$1000)))</f>
        <v/>
      </c>
      <c r="P32" s="33" t="str">
        <f t="shared" si="0"/>
        <v/>
      </c>
      <c r="Q32" s="30"/>
    </row>
    <row r="33" spans="1:17" ht="30" customHeight="1" x14ac:dyDescent="0.3">
      <c r="A33" s="29"/>
      <c r="B33" s="30"/>
      <c r="C33" s="30"/>
      <c r="D33" s="29"/>
      <c r="E33" s="29"/>
      <c r="F33" s="30"/>
      <c r="G33" s="30"/>
      <c r="H33" s="29"/>
      <c r="I33" s="29"/>
      <c r="J33" s="30"/>
      <c r="K33" s="30"/>
      <c r="L33" s="30"/>
      <c r="M33" s="31" t="str">
        <f>IF($B33="","",COUNTIF('DON-HANG'!$C$5:$C$1000,$B33))</f>
        <v/>
      </c>
      <c r="N33" s="31" t="str">
        <f>IF($B33="","",SUMIF('DON-HANG'!$C$5:$C$1000,$B33,'DON-HANG'!$G$5:$G$1000))</f>
        <v/>
      </c>
      <c r="O33" s="32" t="str">
        <f>IF(OR($B33="",M33=0),"",SUMPRODUCT(MAX(('DON-HANG'!$C$5:$C$1000=$B33)*'DON-HANG'!$B$5:$B$1000)))</f>
        <v/>
      </c>
      <c r="P33" s="33" t="str">
        <f t="shared" si="0"/>
        <v/>
      </c>
      <c r="Q33" s="30"/>
    </row>
    <row r="34" spans="1:17" ht="30" customHeight="1" x14ac:dyDescent="0.3">
      <c r="A34" s="29"/>
      <c r="B34" s="30"/>
      <c r="C34" s="30"/>
      <c r="D34" s="29"/>
      <c r="E34" s="29"/>
      <c r="F34" s="30"/>
      <c r="G34" s="30"/>
      <c r="H34" s="29"/>
      <c r="I34" s="29"/>
      <c r="J34" s="30"/>
      <c r="K34" s="30"/>
      <c r="L34" s="30"/>
      <c r="M34" s="31" t="str">
        <f>IF($B34="","",COUNTIF('DON-HANG'!$C$5:$C$1000,$B34))</f>
        <v/>
      </c>
      <c r="N34" s="31" t="str">
        <f>IF($B34="","",SUMIF('DON-HANG'!$C$5:$C$1000,$B34,'DON-HANG'!$G$5:$G$1000))</f>
        <v/>
      </c>
      <c r="O34" s="32" t="str">
        <f>IF(OR($B34="",M34=0),"",SUMPRODUCT(MAX(('DON-HANG'!$C$5:$C$1000=$B34)*'DON-HANG'!$B$5:$B$1000)))</f>
        <v/>
      </c>
      <c r="P34" s="33" t="str">
        <f t="shared" si="0"/>
        <v/>
      </c>
      <c r="Q34" s="30"/>
    </row>
    <row r="35" spans="1:17" ht="30" customHeight="1" x14ac:dyDescent="0.3">
      <c r="A35" s="29"/>
      <c r="B35" s="30"/>
      <c r="C35" s="30"/>
      <c r="D35" s="29"/>
      <c r="E35" s="29"/>
      <c r="F35" s="30"/>
      <c r="G35" s="30"/>
      <c r="H35" s="29"/>
      <c r="I35" s="29"/>
      <c r="J35" s="30"/>
      <c r="K35" s="30"/>
      <c r="L35" s="30"/>
      <c r="M35" s="31" t="str">
        <f>IF($B35="","",COUNTIF('DON-HANG'!$C$5:$C$1000,$B35))</f>
        <v/>
      </c>
      <c r="N35" s="31" t="str">
        <f>IF($B35="","",SUMIF('DON-HANG'!$C$5:$C$1000,$B35,'DON-HANG'!$G$5:$G$1000))</f>
        <v/>
      </c>
      <c r="O35" s="32" t="str">
        <f>IF(OR($B35="",M35=0),"",SUMPRODUCT(MAX(('DON-HANG'!$C$5:$C$1000=$B35)*'DON-HANG'!$B$5:$B$1000)))</f>
        <v/>
      </c>
      <c r="P35" s="33" t="str">
        <f t="shared" si="0"/>
        <v/>
      </c>
      <c r="Q35" s="30"/>
    </row>
    <row r="36" spans="1:17" ht="30" customHeight="1" x14ac:dyDescent="0.3">
      <c r="A36" s="29"/>
      <c r="B36" s="30"/>
      <c r="C36" s="30"/>
      <c r="D36" s="29"/>
      <c r="E36" s="29"/>
      <c r="F36" s="30"/>
      <c r="G36" s="30"/>
      <c r="H36" s="29"/>
      <c r="I36" s="29"/>
      <c r="J36" s="30"/>
      <c r="K36" s="30"/>
      <c r="L36" s="30"/>
      <c r="M36" s="31" t="str">
        <f>IF($B36="","",COUNTIF('DON-HANG'!$C$5:$C$1000,$B36))</f>
        <v/>
      </c>
      <c r="N36" s="31" t="str">
        <f>IF($B36="","",SUMIF('DON-HANG'!$C$5:$C$1000,$B36,'DON-HANG'!$G$5:$G$1000))</f>
        <v/>
      </c>
      <c r="O36" s="32" t="str">
        <f>IF(OR($B36="",M36=0),"",SUMPRODUCT(MAX(('DON-HANG'!$C$5:$C$1000=$B36)*'DON-HANG'!$B$5:$B$1000)))</f>
        <v/>
      </c>
      <c r="P36" s="33" t="str">
        <f t="shared" si="0"/>
        <v/>
      </c>
      <c r="Q36" s="30"/>
    </row>
    <row r="37" spans="1:17" ht="30" customHeight="1" x14ac:dyDescent="0.3">
      <c r="A37" s="29"/>
      <c r="B37" s="30"/>
      <c r="C37" s="30"/>
      <c r="D37" s="29"/>
      <c r="E37" s="29"/>
      <c r="F37" s="30"/>
      <c r="G37" s="30"/>
      <c r="H37" s="29"/>
      <c r="I37" s="29"/>
      <c r="J37" s="30"/>
      <c r="K37" s="30"/>
      <c r="L37" s="30"/>
      <c r="M37" s="31" t="str">
        <f>IF($B37="","",COUNTIF('DON-HANG'!$C$5:$C$1000,$B37))</f>
        <v/>
      </c>
      <c r="N37" s="31" t="str">
        <f>IF($B37="","",SUMIF('DON-HANG'!$C$5:$C$1000,$B37,'DON-HANG'!$G$5:$G$1000))</f>
        <v/>
      </c>
      <c r="O37" s="32" t="str">
        <f>IF(OR($B37="",M37=0),"",SUMPRODUCT(MAX(('DON-HANG'!$C$5:$C$1000=$B37)*'DON-HANG'!$B$5:$B$1000)))</f>
        <v/>
      </c>
      <c r="P37" s="33" t="str">
        <f t="shared" si="0"/>
        <v/>
      </c>
      <c r="Q37" s="30"/>
    </row>
    <row r="38" spans="1:17" ht="30" customHeight="1" x14ac:dyDescent="0.3">
      <c r="A38" s="29"/>
      <c r="B38" s="30"/>
      <c r="C38" s="30"/>
      <c r="D38" s="29"/>
      <c r="E38" s="29"/>
      <c r="F38" s="30"/>
      <c r="G38" s="30"/>
      <c r="H38" s="29"/>
      <c r="I38" s="29"/>
      <c r="J38" s="30"/>
      <c r="K38" s="30"/>
      <c r="L38" s="30"/>
      <c r="M38" s="31" t="str">
        <f>IF($B38="","",COUNTIF('DON-HANG'!$C$5:$C$1000,$B38))</f>
        <v/>
      </c>
      <c r="N38" s="31" t="str">
        <f>IF($B38="","",SUMIF('DON-HANG'!$C$5:$C$1000,$B38,'DON-HANG'!$G$5:$G$1000))</f>
        <v/>
      </c>
      <c r="O38" s="32" t="str">
        <f>IF(OR($B38="",M38=0),"",SUMPRODUCT(MAX(('DON-HANG'!$C$5:$C$1000=$B38)*'DON-HANG'!$B$5:$B$1000)))</f>
        <v/>
      </c>
      <c r="P38" s="33" t="str">
        <f t="shared" si="0"/>
        <v/>
      </c>
      <c r="Q38" s="30"/>
    </row>
    <row r="39" spans="1:17" ht="30" customHeight="1" x14ac:dyDescent="0.3">
      <c r="A39" s="29"/>
      <c r="B39" s="30"/>
      <c r="C39" s="30"/>
      <c r="D39" s="29"/>
      <c r="E39" s="29"/>
      <c r="F39" s="30"/>
      <c r="G39" s="30"/>
      <c r="H39" s="29"/>
      <c r="I39" s="29"/>
      <c r="J39" s="30"/>
      <c r="K39" s="30"/>
      <c r="L39" s="30"/>
      <c r="M39" s="31" t="str">
        <f>IF($B39="","",COUNTIF('DON-HANG'!$C$5:$C$1000,$B39))</f>
        <v/>
      </c>
      <c r="N39" s="31" t="str">
        <f>IF($B39="","",SUMIF('DON-HANG'!$C$5:$C$1000,$B39,'DON-HANG'!$G$5:$G$1000))</f>
        <v/>
      </c>
      <c r="O39" s="32" t="str">
        <f>IF(OR($B39="",M39=0),"",SUMPRODUCT(MAX(('DON-HANG'!$C$5:$C$1000=$B39)*'DON-HANG'!$B$5:$B$1000)))</f>
        <v/>
      </c>
      <c r="P39" s="33" t="str">
        <f t="shared" si="0"/>
        <v/>
      </c>
      <c r="Q39" s="30"/>
    </row>
    <row r="40" spans="1:17" ht="30" customHeight="1" x14ac:dyDescent="0.3">
      <c r="A40" s="29"/>
      <c r="B40" s="30"/>
      <c r="C40" s="30"/>
      <c r="D40" s="29"/>
      <c r="E40" s="29"/>
      <c r="F40" s="30"/>
      <c r="G40" s="30"/>
      <c r="H40" s="29"/>
      <c r="I40" s="29"/>
      <c r="J40" s="30"/>
      <c r="K40" s="30"/>
      <c r="L40" s="30"/>
      <c r="M40" s="31" t="str">
        <f>IF($B40="","",COUNTIF('DON-HANG'!$C$5:$C$1000,$B40))</f>
        <v/>
      </c>
      <c r="N40" s="31" t="str">
        <f>IF($B40="","",SUMIF('DON-HANG'!$C$5:$C$1000,$B40,'DON-HANG'!$G$5:$G$1000))</f>
        <v/>
      </c>
      <c r="O40" s="32" t="str">
        <f>IF(OR($B40="",M40=0),"",SUMPRODUCT(MAX(('DON-HANG'!$C$5:$C$1000=$B40)*'DON-HANG'!$B$5:$B$1000)))</f>
        <v/>
      </c>
      <c r="P40" s="33" t="str">
        <f t="shared" si="0"/>
        <v/>
      </c>
      <c r="Q40" s="30"/>
    </row>
    <row r="41" spans="1:17" ht="30" customHeight="1" x14ac:dyDescent="0.3">
      <c r="A41" s="29"/>
      <c r="B41" s="30"/>
      <c r="C41" s="30"/>
      <c r="D41" s="29"/>
      <c r="E41" s="29"/>
      <c r="F41" s="30"/>
      <c r="G41" s="30"/>
      <c r="H41" s="29"/>
      <c r="I41" s="29"/>
      <c r="J41" s="30"/>
      <c r="K41" s="30"/>
      <c r="L41" s="30"/>
      <c r="M41" s="31" t="str">
        <f>IF($B41="","",COUNTIF('DON-HANG'!$C$5:$C$1000,$B41))</f>
        <v/>
      </c>
      <c r="N41" s="31" t="str">
        <f>IF($B41="","",SUMIF('DON-HANG'!$C$5:$C$1000,$B41,'DON-HANG'!$G$5:$G$1000))</f>
        <v/>
      </c>
      <c r="O41" s="32" t="str">
        <f>IF(OR($B41="",M41=0),"",SUMPRODUCT(MAX(('DON-HANG'!$C$5:$C$1000=$B41)*'DON-HANG'!$B$5:$B$1000)))</f>
        <v/>
      </c>
      <c r="P41" s="33" t="str">
        <f t="shared" si="0"/>
        <v/>
      </c>
      <c r="Q41" s="30"/>
    </row>
    <row r="42" spans="1:17" ht="30" customHeight="1" x14ac:dyDescent="0.3">
      <c r="A42" s="29"/>
      <c r="B42" s="30"/>
      <c r="C42" s="30"/>
      <c r="D42" s="29"/>
      <c r="E42" s="29"/>
      <c r="F42" s="30"/>
      <c r="G42" s="30"/>
      <c r="H42" s="29"/>
      <c r="I42" s="29"/>
      <c r="J42" s="30"/>
      <c r="K42" s="30"/>
      <c r="L42" s="30"/>
      <c r="M42" s="31" t="str">
        <f>IF($B42="","",COUNTIF('DON-HANG'!$C$5:$C$1000,$B42))</f>
        <v/>
      </c>
      <c r="N42" s="31" t="str">
        <f>IF($B42="","",SUMIF('DON-HANG'!$C$5:$C$1000,$B42,'DON-HANG'!$G$5:$G$1000))</f>
        <v/>
      </c>
      <c r="O42" s="32" t="str">
        <f>IF(OR($B42="",M42=0),"",SUMPRODUCT(MAX(('DON-HANG'!$C$5:$C$1000=$B42)*'DON-HANG'!$B$5:$B$1000)))</f>
        <v/>
      </c>
      <c r="P42" s="33" t="str">
        <f t="shared" si="0"/>
        <v/>
      </c>
      <c r="Q42" s="30"/>
    </row>
    <row r="43" spans="1:17" ht="30" customHeight="1" x14ac:dyDescent="0.3">
      <c r="A43" s="29"/>
      <c r="B43" s="30"/>
      <c r="C43" s="30"/>
      <c r="D43" s="29"/>
      <c r="E43" s="29"/>
      <c r="F43" s="30"/>
      <c r="G43" s="30"/>
      <c r="H43" s="29"/>
      <c r="I43" s="29"/>
      <c r="J43" s="30"/>
      <c r="K43" s="30"/>
      <c r="L43" s="30"/>
      <c r="M43" s="31" t="str">
        <f>IF($B43="","",COUNTIF('DON-HANG'!$C$5:$C$1000,$B43))</f>
        <v/>
      </c>
      <c r="N43" s="31" t="str">
        <f>IF($B43="","",SUMIF('DON-HANG'!$C$5:$C$1000,$B43,'DON-HANG'!$G$5:$G$1000))</f>
        <v/>
      </c>
      <c r="O43" s="32" t="str">
        <f>IF(OR($B43="",M43=0),"",SUMPRODUCT(MAX(('DON-HANG'!$C$5:$C$1000=$B43)*'DON-HANG'!$B$5:$B$1000)))</f>
        <v/>
      </c>
      <c r="P43" s="33" t="str">
        <f t="shared" si="0"/>
        <v/>
      </c>
      <c r="Q43" s="30"/>
    </row>
  </sheetData>
  <sheetProtection sheet="1" formatCells="0" formatColumns="0" formatRows="0" insertColumns="0" insertRows="0" deleteColumns="0" deleteRows="0" sort="0" autoFilter="0"/>
  <autoFilter ref="A3:Q43" xr:uid="{00000000-0009-0000-0000-000003000000}"/>
  <mergeCells count="3">
    <mergeCell ref="A1:O1"/>
    <mergeCell ref="P1:Q1"/>
    <mergeCell ref="A2:Q2"/>
  </mergeCells>
  <conditionalFormatting sqref="E4:E43">
    <cfRule type="expression" dxfId="18" priority="2">
      <formula>AND($E4&lt;&gt;"",COUNTIF($E$4:$E$43,$E4)&gt;1)</formula>
    </cfRule>
  </conditionalFormatting>
  <conditionalFormatting sqref="F4:F43">
    <cfRule type="expression" dxfId="17" priority="3">
      <formula>AND($F4&lt;&gt;"",COUNTIF($F$4:$F$43,$F4)&gt;1)</formula>
    </cfRule>
  </conditionalFormatting>
  <conditionalFormatting sqref="P4:P43">
    <cfRule type="expression" dxfId="16" priority="4">
      <formula>$P4&lt;&gt;""</formula>
    </cfRule>
  </conditionalFormatting>
  <dataValidations count="2">
    <dataValidation type="list" allowBlank="1" sqref="H4:H43" xr:uid="{00000000-0002-0000-0300-000000000000}">
      <formula1>"Facebook,Zalo,Shopee,TikTok,Website,Giới thiệu,Khác"</formula1>
      <formula2>0</formula2>
    </dataValidation>
    <dataValidation type="list" allowBlank="1" sqref="I4:I43" xr:uid="{00000000-0002-0000-0300-000001000000}">
      <formula1>"Đang mua,Tiềm năng,Đã mua,Ngừng/Mất"</formula1>
      <formula2>0</formula2>
    </dataValidation>
  </dataValidations>
  <hyperlinks>
    <hyperlink ref="P1" location="'MUC-LUC'!A1" display="« MỤC LỤC" xr:uid="{00000000-0004-0000-0300-000000000000}"/>
  </hyperlinks>
  <pageMargins left="0.75" right="0.75" top="1" bottom="1" header="0.511811023622047" footer="0.511811023622047"/>
  <pageSetup fitToHeight="0" orientation="landscape"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34"/>
  <sheetViews>
    <sheetView showGridLines="0" zoomScaleNormal="100" workbookViewId="0">
      <pane xSplit="3" ySplit="4" topLeftCell="D5" activePane="bottomRight" state="frozen"/>
      <selection pane="topRight" activeCell="D1" sqref="D1"/>
      <selection pane="bottomLeft" activeCell="A5" sqref="A5"/>
      <selection pane="bottomRight" activeCell="I7" sqref="I7"/>
    </sheetView>
  </sheetViews>
  <sheetFormatPr defaultColWidth="8.6640625" defaultRowHeight="14.4" x14ac:dyDescent="0.3"/>
  <cols>
    <col min="1" max="1" width="26" style="13" customWidth="1"/>
    <col min="2" max="2" width="34" style="13" customWidth="1"/>
    <col min="3" max="3" width="13" style="13" customWidth="1"/>
    <col min="4" max="4" width="8" style="13" customWidth="1"/>
    <col min="5" max="6" width="13" style="13" customWidth="1"/>
    <col min="7" max="7" width="7" style="13" customWidth="1"/>
    <col min="8" max="8" width="13" style="13" customWidth="1"/>
    <col min="9" max="9" width="18" style="13" customWidth="1"/>
    <col min="10" max="11" width="11" style="13" customWidth="1"/>
    <col min="12" max="15" width="8" style="13" customWidth="1"/>
    <col min="16" max="16" width="6" style="13" customWidth="1"/>
    <col min="17" max="18" width="11" style="13" customWidth="1"/>
    <col min="19" max="19" width="14" style="13" customWidth="1"/>
    <col min="20" max="20" width="15" style="13" customWidth="1"/>
  </cols>
  <sheetData>
    <row r="1" spans="1:20" ht="27.75" customHeight="1" x14ac:dyDescent="0.3">
      <c r="A1" s="111" t="s">
        <v>203</v>
      </c>
      <c r="B1" s="111"/>
      <c r="C1" s="111"/>
      <c r="D1" s="111"/>
      <c r="E1" s="111"/>
      <c r="F1" s="111"/>
      <c r="G1" s="111"/>
      <c r="H1" s="111"/>
      <c r="I1" s="111"/>
      <c r="J1" s="111"/>
      <c r="K1" s="111"/>
      <c r="L1" s="111"/>
      <c r="M1" s="111"/>
      <c r="N1" s="111"/>
      <c r="O1" s="111"/>
      <c r="P1" s="111"/>
      <c r="Q1" s="111"/>
      <c r="R1" s="11" t="s">
        <v>1</v>
      </c>
      <c r="S1" s="11"/>
      <c r="T1" s="14"/>
    </row>
    <row r="2" spans="1:20" ht="33.75" customHeight="1" x14ac:dyDescent="0.3">
      <c r="A2" s="95" t="s">
        <v>204</v>
      </c>
      <c r="B2" s="95"/>
      <c r="C2" s="95"/>
      <c r="D2" s="95"/>
      <c r="E2" s="95"/>
      <c r="F2" s="95"/>
      <c r="G2" s="95"/>
      <c r="H2" s="95"/>
      <c r="I2" s="95"/>
      <c r="J2" s="95"/>
      <c r="K2" s="95"/>
      <c r="L2" s="95"/>
      <c r="M2" s="95"/>
      <c r="N2" s="95"/>
      <c r="O2" s="95"/>
      <c r="P2" s="95"/>
      <c r="Q2" s="95"/>
      <c r="R2" s="95"/>
      <c r="S2" s="95"/>
      <c r="T2" s="14"/>
    </row>
    <row r="3" spans="1:20" ht="19.5" customHeight="1" x14ac:dyDescent="0.3">
      <c r="A3" s="112" t="s">
        <v>205</v>
      </c>
      <c r="B3" s="112"/>
      <c r="C3" s="112"/>
      <c r="D3" s="113" t="s">
        <v>206</v>
      </c>
      <c r="E3" s="113"/>
      <c r="F3" s="113"/>
      <c r="G3" s="113"/>
      <c r="H3" s="113"/>
      <c r="I3" s="113"/>
      <c r="J3" s="113"/>
      <c r="K3" s="113"/>
      <c r="L3" s="114" t="s">
        <v>207</v>
      </c>
      <c r="M3" s="114"/>
      <c r="N3" s="114"/>
      <c r="O3" s="114"/>
      <c r="P3" s="113" t="s">
        <v>208</v>
      </c>
      <c r="Q3" s="113"/>
      <c r="R3" s="113"/>
      <c r="S3" s="113"/>
      <c r="T3" s="37" t="s">
        <v>209</v>
      </c>
    </row>
    <row r="4" spans="1:20" ht="27.75" customHeight="1" x14ac:dyDescent="0.3">
      <c r="A4" s="25" t="s">
        <v>210</v>
      </c>
      <c r="B4" s="25" t="s">
        <v>211</v>
      </c>
      <c r="C4" s="38" t="s">
        <v>212</v>
      </c>
      <c r="D4" s="26" t="s">
        <v>213</v>
      </c>
      <c r="E4" s="26" t="s">
        <v>214</v>
      </c>
      <c r="F4" s="26" t="s">
        <v>215</v>
      </c>
      <c r="G4" s="26" t="s">
        <v>216</v>
      </c>
      <c r="H4" s="26" t="s">
        <v>217</v>
      </c>
      <c r="I4" s="26" t="s">
        <v>218</v>
      </c>
      <c r="J4" s="26" t="s">
        <v>219</v>
      </c>
      <c r="K4" s="27" t="s">
        <v>220</v>
      </c>
      <c r="L4" s="39" t="s">
        <v>221</v>
      </c>
      <c r="M4" s="39" t="s">
        <v>222</v>
      </c>
      <c r="N4" s="39" t="s">
        <v>223</v>
      </c>
      <c r="O4" s="39" t="s">
        <v>224</v>
      </c>
      <c r="P4" s="27" t="s">
        <v>225</v>
      </c>
      <c r="Q4" s="27" t="s">
        <v>226</v>
      </c>
      <c r="R4" s="27" t="s">
        <v>227</v>
      </c>
      <c r="S4" s="26" t="s">
        <v>179</v>
      </c>
      <c r="T4" s="37" t="s">
        <v>228</v>
      </c>
    </row>
    <row r="5" spans="1:20" ht="69" customHeight="1" x14ac:dyDescent="0.3">
      <c r="A5" s="40" t="s">
        <v>229</v>
      </c>
      <c r="B5" s="30" t="s">
        <v>230</v>
      </c>
      <c r="C5" s="41">
        <v>60000</v>
      </c>
      <c r="D5" s="29" t="s">
        <v>231</v>
      </c>
      <c r="E5" s="30" t="s">
        <v>232</v>
      </c>
      <c r="F5" s="29" t="s">
        <v>233</v>
      </c>
      <c r="G5" s="29" t="s">
        <v>234</v>
      </c>
      <c r="H5" s="30" t="s">
        <v>186</v>
      </c>
      <c r="I5" s="30" t="s">
        <v>235</v>
      </c>
      <c r="J5" s="42">
        <v>42000</v>
      </c>
      <c r="K5" s="31">
        <f t="shared" ref="K5:K34" si="0">IF(OR(C5="",J5=""),"",C5-J5)</f>
        <v>18000</v>
      </c>
      <c r="L5" s="43">
        <v>10</v>
      </c>
      <c r="M5" s="44">
        <f>IF($A5="","",SUMIF('NHAP-HANG'!$J$4:$J$1000,$A5,'NHAP-HANG'!$C$4:$C$1000))</f>
        <v>10</v>
      </c>
      <c r="N5" s="44">
        <f>IF($A5="","",SUMPRODUCT(ISNUMBER(SEARCH($A5,'DON-HANG'!$E$5:$E$1000))*'DON-HANG'!$F$5:$F$1000))</f>
        <v>5</v>
      </c>
      <c r="O5" s="44">
        <f t="shared" ref="O5:O34" si="1">IF($A5="","",IF(L5="","",L5+M5-N5))</f>
        <v>15</v>
      </c>
      <c r="P5" s="31">
        <f>IF($A5="","",SUMPRODUCT(--ISNUMBER(SEARCH($A5,'DON-HANG'!$E$5:$E$1000))))</f>
        <v>1</v>
      </c>
      <c r="Q5" s="31">
        <f>IF($A5="","",SUMPRODUCT(ISNUMBER(SEARCH($A5,'DON-HANG'!$E$5:$E$1000))*'DON-HANG'!$G$5:$G$1000))</f>
        <v>300000</v>
      </c>
      <c r="R5" s="32">
        <f>IF(OR($A5="",P5=0),"",SUMPRODUCT(MAX(ISNUMBER(SEARCH($A5,'DON-HANG'!$E$5:$E$1000))*'DON-HANG'!$B$5:$B$1000)))</f>
        <v>46178</v>
      </c>
      <c r="S5" s="30" t="s">
        <v>236</v>
      </c>
      <c r="T5" s="45">
        <f>IF($A5="","",IFERROR(SUMIF('NHAP-HANG'!$J$4:$J$43,$A5,'NHAP-HANG'!$E$4:$E$43)/SUMIF('NHAP-HANG'!$J$4:$J$43,$A5,'NHAP-HANG'!$C$4:$C$43),""))</f>
        <v>42000</v>
      </c>
    </row>
    <row r="6" spans="1:20" ht="54.75" customHeight="1" x14ac:dyDescent="0.3">
      <c r="A6" s="40" t="s">
        <v>237</v>
      </c>
      <c r="B6" s="30" t="s">
        <v>238</v>
      </c>
      <c r="C6" s="41">
        <v>65000</v>
      </c>
      <c r="D6" s="29" t="s">
        <v>239</v>
      </c>
      <c r="E6" s="30" t="s">
        <v>240</v>
      </c>
      <c r="F6" s="29" t="s">
        <v>241</v>
      </c>
      <c r="G6" s="29" t="s">
        <v>234</v>
      </c>
      <c r="H6" s="30" t="s">
        <v>242</v>
      </c>
      <c r="I6" s="30" t="s">
        <v>235</v>
      </c>
      <c r="J6" s="42">
        <v>48000</v>
      </c>
      <c r="K6" s="31">
        <f t="shared" si="0"/>
        <v>17000</v>
      </c>
      <c r="L6" s="43">
        <v>20</v>
      </c>
      <c r="M6" s="44">
        <f>IF($A6="","",SUMIF('NHAP-HANG'!$J$4:$J$1000,$A6,'NHAP-HANG'!$C$4:$C$1000))</f>
        <v>0</v>
      </c>
      <c r="N6" s="44">
        <f>IF($A6="","",SUMPRODUCT(ISNUMBER(SEARCH($A6,'DON-HANG'!$E$5:$E$1000))*'DON-HANG'!$F$5:$F$1000))</f>
        <v>0</v>
      </c>
      <c r="O6" s="44">
        <f t="shared" si="1"/>
        <v>20</v>
      </c>
      <c r="P6" s="31">
        <f>IF($A6="","",SUMPRODUCT(--ISNUMBER(SEARCH($A6,'DON-HANG'!$E$5:$E$1000))))</f>
        <v>0</v>
      </c>
      <c r="Q6" s="31">
        <f>IF($A6="","",SUMPRODUCT(ISNUMBER(SEARCH($A6,'DON-HANG'!$E$5:$E$1000))*'DON-HANG'!$G$5:$G$1000))</f>
        <v>0</v>
      </c>
      <c r="R6" s="32" t="str">
        <f>IF(OR($A6="",P6=0),"",SUMPRODUCT(MAX(ISNUMBER(SEARCH($A6,'DON-HANG'!$E$5:$E$1000))*'DON-HANG'!$B$5:$B$1000)))</f>
        <v/>
      </c>
      <c r="S6" s="30"/>
      <c r="T6" s="45" t="str">
        <f>IF($A6="","",IFERROR(SUMIF('NHAP-HANG'!$J$4:$J$43,$A6,'NHAP-HANG'!$E$4:$E$43)/SUMIF('NHAP-HANG'!$J$4:$J$43,$A6,'NHAP-HANG'!$C$4:$C$43),""))</f>
        <v/>
      </c>
    </row>
    <row r="7" spans="1:20" ht="54.75" customHeight="1" x14ac:dyDescent="0.3">
      <c r="A7" s="40" t="s">
        <v>243</v>
      </c>
      <c r="B7" s="30" t="s">
        <v>244</v>
      </c>
      <c r="C7" s="41">
        <v>15000</v>
      </c>
      <c r="D7" s="29" t="s">
        <v>245</v>
      </c>
      <c r="E7" s="30" t="s">
        <v>246</v>
      </c>
      <c r="F7" s="29" t="s">
        <v>247</v>
      </c>
      <c r="G7" s="29" t="s">
        <v>234</v>
      </c>
      <c r="H7" s="30" t="s">
        <v>242</v>
      </c>
      <c r="I7" s="30" t="s">
        <v>248</v>
      </c>
      <c r="J7" s="42">
        <v>9000</v>
      </c>
      <c r="K7" s="31">
        <f t="shared" si="0"/>
        <v>6000</v>
      </c>
      <c r="L7" s="43">
        <v>50</v>
      </c>
      <c r="M7" s="44">
        <f>IF($A7="","",SUMIF('NHAP-HANG'!$J$4:$J$1000,$A7,'NHAP-HANG'!$C$4:$C$1000))</f>
        <v>20</v>
      </c>
      <c r="N7" s="44">
        <f>IF($A7="","",SUMPRODUCT(ISNUMBER(SEARCH($A7,'DON-HANG'!$E$5:$E$1000))*'DON-HANG'!$F$5:$F$1000))</f>
        <v>10</v>
      </c>
      <c r="O7" s="44">
        <f t="shared" si="1"/>
        <v>60</v>
      </c>
      <c r="P7" s="31">
        <f>IF($A7="","",SUMPRODUCT(--ISNUMBER(SEARCH($A7,'DON-HANG'!$E$5:$E$1000))))</f>
        <v>1</v>
      </c>
      <c r="Q7" s="31">
        <f>IF($A7="","",SUMPRODUCT(ISNUMBER(SEARCH($A7,'DON-HANG'!$E$5:$E$1000))*'DON-HANG'!$G$5:$G$1000))</f>
        <v>150000</v>
      </c>
      <c r="R7" s="32">
        <f>IF(OR($A7="",P7=0),"",SUMPRODUCT(MAX(ISNUMBER(SEARCH($A7,'DON-HANG'!$E$5:$E$1000))*'DON-HANG'!$B$5:$B$1000)))</f>
        <v>0</v>
      </c>
      <c r="S7" s="30"/>
      <c r="T7" s="45">
        <f>IF($A7="","",IFERROR(SUMIF('NHAP-HANG'!$J$4:$J$43,$A7,'NHAP-HANG'!$E$4:$E$43)/SUMIF('NHAP-HANG'!$J$4:$J$43,$A7,'NHAP-HANG'!$C$4:$C$43),""))</f>
        <v>9000</v>
      </c>
    </row>
    <row r="8" spans="1:20" ht="54.75" customHeight="1" x14ac:dyDescent="0.3">
      <c r="A8" s="40" t="s">
        <v>192</v>
      </c>
      <c r="B8" s="30" t="s">
        <v>249</v>
      </c>
      <c r="C8" s="41">
        <v>1410000</v>
      </c>
      <c r="D8" s="29" t="s">
        <v>250</v>
      </c>
      <c r="E8" s="30" t="s">
        <v>251</v>
      </c>
      <c r="F8" s="29" t="s">
        <v>252</v>
      </c>
      <c r="G8" s="29" t="s">
        <v>253</v>
      </c>
      <c r="H8" s="30"/>
      <c r="I8" s="30" t="s">
        <v>254</v>
      </c>
      <c r="J8" s="42">
        <v>1250000</v>
      </c>
      <c r="K8" s="31">
        <f t="shared" si="0"/>
        <v>160000</v>
      </c>
      <c r="L8" s="43">
        <v>3</v>
      </c>
      <c r="M8" s="44">
        <f>IF($A8="","",SUMIF('NHAP-HANG'!$J$4:$J$1000,$A8,'NHAP-HANG'!$C$4:$C$1000))</f>
        <v>0</v>
      </c>
      <c r="N8" s="44">
        <f>IF($A8="","",SUMPRODUCT(ISNUMBER(SEARCH($A8,'DON-HANG'!$E$5:$E$1000))*'DON-HANG'!$F$5:$F$1000))</f>
        <v>1</v>
      </c>
      <c r="O8" s="44">
        <f t="shared" si="1"/>
        <v>2</v>
      </c>
      <c r="P8" s="31">
        <f>IF($A8="","",SUMPRODUCT(--ISNUMBER(SEARCH($A8,'DON-HANG'!$E$5:$E$1000))))</f>
        <v>1</v>
      </c>
      <c r="Q8" s="31">
        <f>IF($A8="","",SUMPRODUCT(ISNUMBER(SEARCH($A8,'DON-HANG'!$E$5:$E$1000))*'DON-HANG'!$G$5:$G$1000))</f>
        <v>1410000</v>
      </c>
      <c r="R8" s="32">
        <f>IF(OR($A8="",P8=0),"",SUMPRODUCT(MAX(ISNUMBER(SEARCH($A8,'DON-HANG'!$E$5:$E$1000))*'DON-HANG'!$B$5:$B$1000)))</f>
        <v>0</v>
      </c>
      <c r="S8" s="30"/>
      <c r="T8" s="45" t="str">
        <f>IF($A8="","",IFERROR(SUMIF('NHAP-HANG'!$J$4:$J$43,$A8,'NHAP-HANG'!$E$4:$E$43)/SUMIF('NHAP-HANG'!$J$4:$J$43,$A8,'NHAP-HANG'!$C$4:$C$43),""))</f>
        <v/>
      </c>
    </row>
    <row r="9" spans="1:20" ht="69" customHeight="1" x14ac:dyDescent="0.3">
      <c r="A9" s="40" t="s">
        <v>255</v>
      </c>
      <c r="B9" s="30" t="s">
        <v>256</v>
      </c>
      <c r="C9" s="41">
        <v>80000</v>
      </c>
      <c r="D9" s="29" t="s">
        <v>257</v>
      </c>
      <c r="E9" s="30" t="s">
        <v>232</v>
      </c>
      <c r="F9" s="29" t="s">
        <v>258</v>
      </c>
      <c r="G9" s="29" t="s">
        <v>234</v>
      </c>
      <c r="H9" s="30" t="s">
        <v>186</v>
      </c>
      <c r="I9" s="30" t="s">
        <v>259</v>
      </c>
      <c r="J9" s="42">
        <v>59000</v>
      </c>
      <c r="K9" s="31">
        <f t="shared" si="0"/>
        <v>21000</v>
      </c>
      <c r="L9" s="43">
        <v>0</v>
      </c>
      <c r="M9" s="44">
        <f>IF($A9="","",SUMIF('NHAP-HANG'!$J$4:$J$1000,$A9,'NHAP-HANG'!$C$4:$C$1000))</f>
        <v>0</v>
      </c>
      <c r="N9" s="44">
        <f>IF($A9="","",SUMPRODUCT(ISNUMBER(SEARCH($A9,'DON-HANG'!$E$5:$E$1000))*'DON-HANG'!$F$5:$F$1000))</f>
        <v>0</v>
      </c>
      <c r="O9" s="44">
        <f t="shared" si="1"/>
        <v>0</v>
      </c>
      <c r="P9" s="31">
        <f>IF($A9="","",SUMPRODUCT(--ISNUMBER(SEARCH($A9,'DON-HANG'!$E$5:$E$1000))))</f>
        <v>0</v>
      </c>
      <c r="Q9" s="31">
        <f>IF($A9="","",SUMPRODUCT(ISNUMBER(SEARCH($A9,'DON-HANG'!$E$5:$E$1000))*'DON-HANG'!$G$5:$G$1000))</f>
        <v>0</v>
      </c>
      <c r="R9" s="32" t="str">
        <f>IF(OR($A9="",P9=0),"",SUMPRODUCT(MAX(ISNUMBER(SEARCH($A9,'DON-HANG'!$E$5:$E$1000))*'DON-HANG'!$B$5:$B$1000)))</f>
        <v/>
      </c>
      <c r="S9" s="30"/>
      <c r="T9" s="45" t="str">
        <f>IF($A9="","",IFERROR(SUMIF('NHAP-HANG'!$J$4:$J$43,$A9,'NHAP-HANG'!$E$4:$E$43)/SUMIF('NHAP-HANG'!$J$4:$J$43,$A9,'NHAP-HANG'!$C$4:$C$43),""))</f>
        <v/>
      </c>
    </row>
    <row r="10" spans="1:20" ht="31.5" customHeight="1" x14ac:dyDescent="0.3">
      <c r="A10" s="40"/>
      <c r="B10" s="30"/>
      <c r="C10" s="41"/>
      <c r="D10" s="29"/>
      <c r="E10" s="30"/>
      <c r="F10" s="29"/>
      <c r="G10" s="29"/>
      <c r="H10" s="30"/>
      <c r="I10" s="30"/>
      <c r="J10" s="42"/>
      <c r="K10" s="31" t="str">
        <f t="shared" si="0"/>
        <v/>
      </c>
      <c r="L10" s="43"/>
      <c r="M10" s="44" t="str">
        <f>IF($A10="","",SUMIF('NHAP-HANG'!$J$4:$J$1000,$A10,'NHAP-HANG'!$C$4:$C$1000))</f>
        <v/>
      </c>
      <c r="N10" s="44" t="str">
        <f>IF($A10="","",SUMPRODUCT(ISNUMBER(SEARCH($A10,'DON-HANG'!$E$5:$E$1000))*'DON-HANG'!$F$5:$F$1000))</f>
        <v/>
      </c>
      <c r="O10" s="44" t="str">
        <f t="shared" si="1"/>
        <v/>
      </c>
      <c r="P10" s="31" t="str">
        <f>IF($A10="","",SUMPRODUCT(--ISNUMBER(SEARCH($A10,'DON-HANG'!$E$5:$E$1000))))</f>
        <v/>
      </c>
      <c r="Q10" s="31" t="str">
        <f>IF($A10="","",SUMPRODUCT(ISNUMBER(SEARCH($A10,'DON-HANG'!$E$5:$E$1000))*'DON-HANG'!$G$5:$G$1000))</f>
        <v/>
      </c>
      <c r="R10" s="32" t="str">
        <f>IF(OR($A10="",P10=0),"",SUMPRODUCT(MAX(ISNUMBER(SEARCH($A10,'DON-HANG'!$E$5:$E$1000))*'DON-HANG'!$B$5:$B$1000)))</f>
        <v/>
      </c>
      <c r="S10" s="30"/>
      <c r="T10" s="45" t="str">
        <f>IF($A10="","",IFERROR(SUMIF('NHAP-HANG'!$J$4:$J$43,$A10,'NHAP-HANG'!$E$4:$E$43)/SUMIF('NHAP-HANG'!$J$4:$J$43,$A10,'NHAP-HANG'!$C$4:$C$43),""))</f>
        <v/>
      </c>
    </row>
    <row r="11" spans="1:20" ht="31.5" customHeight="1" x14ac:dyDescent="0.3">
      <c r="A11" s="40"/>
      <c r="B11" s="30"/>
      <c r="C11" s="41"/>
      <c r="D11" s="29"/>
      <c r="E11" s="30"/>
      <c r="F11" s="29"/>
      <c r="G11" s="29"/>
      <c r="H11" s="30"/>
      <c r="I11" s="30"/>
      <c r="J11" s="42"/>
      <c r="K11" s="31" t="str">
        <f t="shared" si="0"/>
        <v/>
      </c>
      <c r="L11" s="43"/>
      <c r="M11" s="44" t="str">
        <f>IF($A11="","",SUMIF('NHAP-HANG'!$J$4:$J$1000,$A11,'NHAP-HANG'!$C$4:$C$1000))</f>
        <v/>
      </c>
      <c r="N11" s="44" t="str">
        <f>IF($A11="","",SUMPRODUCT(ISNUMBER(SEARCH($A11,'DON-HANG'!$E$5:$E$1000))*'DON-HANG'!$F$5:$F$1000))</f>
        <v/>
      </c>
      <c r="O11" s="44" t="str">
        <f t="shared" si="1"/>
        <v/>
      </c>
      <c r="P11" s="31" t="str">
        <f>IF($A11="","",SUMPRODUCT(--ISNUMBER(SEARCH($A11,'DON-HANG'!$E$5:$E$1000))))</f>
        <v/>
      </c>
      <c r="Q11" s="31" t="str">
        <f>IF($A11="","",SUMPRODUCT(ISNUMBER(SEARCH($A11,'DON-HANG'!$E$5:$E$1000))*'DON-HANG'!$G$5:$G$1000))</f>
        <v/>
      </c>
      <c r="R11" s="32" t="str">
        <f>IF(OR($A11="",P11=0),"",SUMPRODUCT(MAX(ISNUMBER(SEARCH($A11,'DON-HANG'!$E$5:$E$1000))*'DON-HANG'!$B$5:$B$1000)))</f>
        <v/>
      </c>
      <c r="S11" s="30"/>
      <c r="T11" s="45" t="str">
        <f>IF($A11="","",IFERROR(SUMIF('NHAP-HANG'!$J$4:$J$43,$A11,'NHAP-HANG'!$E$4:$E$43)/SUMIF('NHAP-HANG'!$J$4:$J$43,$A11,'NHAP-HANG'!$C$4:$C$43),""))</f>
        <v/>
      </c>
    </row>
    <row r="12" spans="1:20" ht="31.5" customHeight="1" x14ac:dyDescent="0.3">
      <c r="A12" s="40"/>
      <c r="B12" s="30"/>
      <c r="C12" s="41"/>
      <c r="D12" s="29"/>
      <c r="E12" s="30"/>
      <c r="F12" s="29"/>
      <c r="G12" s="29"/>
      <c r="H12" s="30"/>
      <c r="I12" s="30"/>
      <c r="J12" s="42"/>
      <c r="K12" s="31" t="str">
        <f t="shared" si="0"/>
        <v/>
      </c>
      <c r="L12" s="43"/>
      <c r="M12" s="44" t="str">
        <f>IF($A12="","",SUMIF('NHAP-HANG'!$J$4:$J$1000,$A12,'NHAP-HANG'!$C$4:$C$1000))</f>
        <v/>
      </c>
      <c r="N12" s="44" t="str">
        <f>IF($A12="","",SUMPRODUCT(ISNUMBER(SEARCH($A12,'DON-HANG'!$E$5:$E$1000))*'DON-HANG'!$F$5:$F$1000))</f>
        <v/>
      </c>
      <c r="O12" s="44" t="str">
        <f t="shared" si="1"/>
        <v/>
      </c>
      <c r="P12" s="31" t="str">
        <f>IF($A12="","",SUMPRODUCT(--ISNUMBER(SEARCH($A12,'DON-HANG'!$E$5:$E$1000))))</f>
        <v/>
      </c>
      <c r="Q12" s="31" t="str">
        <f>IF($A12="","",SUMPRODUCT(ISNUMBER(SEARCH($A12,'DON-HANG'!$E$5:$E$1000))*'DON-HANG'!$G$5:$G$1000))</f>
        <v/>
      </c>
      <c r="R12" s="32" t="str">
        <f>IF(OR($A12="",P12=0),"",SUMPRODUCT(MAX(ISNUMBER(SEARCH($A12,'DON-HANG'!$E$5:$E$1000))*'DON-HANG'!$B$5:$B$1000)))</f>
        <v/>
      </c>
      <c r="S12" s="30"/>
      <c r="T12" s="45" t="str">
        <f>IF($A12="","",IFERROR(SUMIF('NHAP-HANG'!$J$4:$J$43,$A12,'NHAP-HANG'!$E$4:$E$43)/SUMIF('NHAP-HANG'!$J$4:$J$43,$A12,'NHAP-HANG'!$C$4:$C$43),""))</f>
        <v/>
      </c>
    </row>
    <row r="13" spans="1:20" ht="31.5" customHeight="1" x14ac:dyDescent="0.3">
      <c r="A13" s="40"/>
      <c r="B13" s="30"/>
      <c r="C13" s="41"/>
      <c r="D13" s="29"/>
      <c r="E13" s="30"/>
      <c r="F13" s="29"/>
      <c r="G13" s="29"/>
      <c r="H13" s="30"/>
      <c r="I13" s="30"/>
      <c r="J13" s="42"/>
      <c r="K13" s="31" t="str">
        <f t="shared" si="0"/>
        <v/>
      </c>
      <c r="L13" s="43"/>
      <c r="M13" s="44" t="str">
        <f>IF($A13="","",SUMIF('NHAP-HANG'!$J$4:$J$1000,$A13,'NHAP-HANG'!$C$4:$C$1000))</f>
        <v/>
      </c>
      <c r="N13" s="44" t="str">
        <f>IF($A13="","",SUMPRODUCT(ISNUMBER(SEARCH($A13,'DON-HANG'!$E$5:$E$1000))*'DON-HANG'!$F$5:$F$1000))</f>
        <v/>
      </c>
      <c r="O13" s="44" t="str">
        <f t="shared" si="1"/>
        <v/>
      </c>
      <c r="P13" s="31" t="str">
        <f>IF($A13="","",SUMPRODUCT(--ISNUMBER(SEARCH($A13,'DON-HANG'!$E$5:$E$1000))))</f>
        <v/>
      </c>
      <c r="Q13" s="31" t="str">
        <f>IF($A13="","",SUMPRODUCT(ISNUMBER(SEARCH($A13,'DON-HANG'!$E$5:$E$1000))*'DON-HANG'!$G$5:$G$1000))</f>
        <v/>
      </c>
      <c r="R13" s="32" t="str">
        <f>IF(OR($A13="",P13=0),"",SUMPRODUCT(MAX(ISNUMBER(SEARCH($A13,'DON-HANG'!$E$5:$E$1000))*'DON-HANG'!$B$5:$B$1000)))</f>
        <v/>
      </c>
      <c r="S13" s="30"/>
      <c r="T13" s="45" t="str">
        <f>IF($A13="","",IFERROR(SUMIF('NHAP-HANG'!$J$4:$J$43,$A13,'NHAP-HANG'!$E$4:$E$43)/SUMIF('NHAP-HANG'!$J$4:$J$43,$A13,'NHAP-HANG'!$C$4:$C$43),""))</f>
        <v/>
      </c>
    </row>
    <row r="14" spans="1:20" ht="31.5" customHeight="1" x14ac:dyDescent="0.3">
      <c r="A14" s="40"/>
      <c r="B14" s="30"/>
      <c r="C14" s="41"/>
      <c r="D14" s="29"/>
      <c r="E14" s="30"/>
      <c r="F14" s="29"/>
      <c r="G14" s="29"/>
      <c r="H14" s="30"/>
      <c r="I14" s="30"/>
      <c r="J14" s="42"/>
      <c r="K14" s="31" t="str">
        <f t="shared" si="0"/>
        <v/>
      </c>
      <c r="L14" s="43"/>
      <c r="M14" s="44" t="str">
        <f>IF($A14="","",SUMIF('NHAP-HANG'!$J$4:$J$1000,$A14,'NHAP-HANG'!$C$4:$C$1000))</f>
        <v/>
      </c>
      <c r="N14" s="44" t="str">
        <f>IF($A14="","",SUMPRODUCT(ISNUMBER(SEARCH($A14,'DON-HANG'!$E$5:$E$1000))*'DON-HANG'!$F$5:$F$1000))</f>
        <v/>
      </c>
      <c r="O14" s="44" t="str">
        <f t="shared" si="1"/>
        <v/>
      </c>
      <c r="P14" s="31" t="str">
        <f>IF($A14="","",SUMPRODUCT(--ISNUMBER(SEARCH($A14,'DON-HANG'!$E$5:$E$1000))))</f>
        <v/>
      </c>
      <c r="Q14" s="31" t="str">
        <f>IF($A14="","",SUMPRODUCT(ISNUMBER(SEARCH($A14,'DON-HANG'!$E$5:$E$1000))*'DON-HANG'!$G$5:$G$1000))</f>
        <v/>
      </c>
      <c r="R14" s="32" t="str">
        <f>IF(OR($A14="",P14=0),"",SUMPRODUCT(MAX(ISNUMBER(SEARCH($A14,'DON-HANG'!$E$5:$E$1000))*'DON-HANG'!$B$5:$B$1000)))</f>
        <v/>
      </c>
      <c r="S14" s="30"/>
      <c r="T14" s="45" t="str">
        <f>IF($A14="","",IFERROR(SUMIF('NHAP-HANG'!$J$4:$J$43,$A14,'NHAP-HANG'!$E$4:$E$43)/SUMIF('NHAP-HANG'!$J$4:$J$43,$A14,'NHAP-HANG'!$C$4:$C$43),""))</f>
        <v/>
      </c>
    </row>
    <row r="15" spans="1:20" ht="31.5" customHeight="1" x14ac:dyDescent="0.3">
      <c r="A15" s="40"/>
      <c r="B15" s="30"/>
      <c r="C15" s="41"/>
      <c r="D15" s="29"/>
      <c r="E15" s="30"/>
      <c r="F15" s="29"/>
      <c r="G15" s="29"/>
      <c r="H15" s="30"/>
      <c r="I15" s="30"/>
      <c r="J15" s="42"/>
      <c r="K15" s="31" t="str">
        <f t="shared" si="0"/>
        <v/>
      </c>
      <c r="L15" s="43"/>
      <c r="M15" s="44" t="str">
        <f>IF($A15="","",SUMIF('NHAP-HANG'!$J$4:$J$1000,$A15,'NHAP-HANG'!$C$4:$C$1000))</f>
        <v/>
      </c>
      <c r="N15" s="44" t="str">
        <f>IF($A15="","",SUMPRODUCT(ISNUMBER(SEARCH($A15,'DON-HANG'!$E$5:$E$1000))*'DON-HANG'!$F$5:$F$1000))</f>
        <v/>
      </c>
      <c r="O15" s="44" t="str">
        <f t="shared" si="1"/>
        <v/>
      </c>
      <c r="P15" s="31" t="str">
        <f>IF($A15="","",SUMPRODUCT(--ISNUMBER(SEARCH($A15,'DON-HANG'!$E$5:$E$1000))))</f>
        <v/>
      </c>
      <c r="Q15" s="31" t="str">
        <f>IF($A15="","",SUMPRODUCT(ISNUMBER(SEARCH($A15,'DON-HANG'!$E$5:$E$1000))*'DON-HANG'!$G$5:$G$1000))</f>
        <v/>
      </c>
      <c r="R15" s="32" t="str">
        <f>IF(OR($A15="",P15=0),"",SUMPRODUCT(MAX(ISNUMBER(SEARCH($A15,'DON-HANG'!$E$5:$E$1000))*'DON-HANG'!$B$5:$B$1000)))</f>
        <v/>
      </c>
      <c r="S15" s="30"/>
      <c r="T15" s="45" t="str">
        <f>IF($A15="","",IFERROR(SUMIF('NHAP-HANG'!$J$4:$J$43,$A15,'NHAP-HANG'!$E$4:$E$43)/SUMIF('NHAP-HANG'!$J$4:$J$43,$A15,'NHAP-HANG'!$C$4:$C$43),""))</f>
        <v/>
      </c>
    </row>
    <row r="16" spans="1:20" ht="31.5" customHeight="1" x14ac:dyDescent="0.3">
      <c r="A16" s="40"/>
      <c r="B16" s="30"/>
      <c r="C16" s="41"/>
      <c r="D16" s="29"/>
      <c r="E16" s="30"/>
      <c r="F16" s="29"/>
      <c r="G16" s="29"/>
      <c r="H16" s="30"/>
      <c r="I16" s="30"/>
      <c r="J16" s="42"/>
      <c r="K16" s="31" t="str">
        <f t="shared" si="0"/>
        <v/>
      </c>
      <c r="L16" s="43"/>
      <c r="M16" s="44" t="str">
        <f>IF($A16="","",SUMIF('NHAP-HANG'!$J$4:$J$1000,$A16,'NHAP-HANG'!$C$4:$C$1000))</f>
        <v/>
      </c>
      <c r="N16" s="44" t="str">
        <f>IF($A16="","",SUMPRODUCT(ISNUMBER(SEARCH($A16,'DON-HANG'!$E$5:$E$1000))*'DON-HANG'!$F$5:$F$1000))</f>
        <v/>
      </c>
      <c r="O16" s="44" t="str">
        <f t="shared" si="1"/>
        <v/>
      </c>
      <c r="P16" s="31" t="str">
        <f>IF($A16="","",SUMPRODUCT(--ISNUMBER(SEARCH($A16,'DON-HANG'!$E$5:$E$1000))))</f>
        <v/>
      </c>
      <c r="Q16" s="31" t="str">
        <f>IF($A16="","",SUMPRODUCT(ISNUMBER(SEARCH($A16,'DON-HANG'!$E$5:$E$1000))*'DON-HANG'!$G$5:$G$1000))</f>
        <v/>
      </c>
      <c r="R16" s="32" t="str">
        <f>IF(OR($A16="",P16=0),"",SUMPRODUCT(MAX(ISNUMBER(SEARCH($A16,'DON-HANG'!$E$5:$E$1000))*'DON-HANG'!$B$5:$B$1000)))</f>
        <v/>
      </c>
      <c r="S16" s="30"/>
      <c r="T16" s="45" t="str">
        <f>IF($A16="","",IFERROR(SUMIF('NHAP-HANG'!$J$4:$J$43,$A16,'NHAP-HANG'!$E$4:$E$43)/SUMIF('NHAP-HANG'!$J$4:$J$43,$A16,'NHAP-HANG'!$C$4:$C$43),""))</f>
        <v/>
      </c>
    </row>
    <row r="17" spans="1:20" ht="31.5" customHeight="1" x14ac:dyDescent="0.3">
      <c r="A17" s="40"/>
      <c r="B17" s="30"/>
      <c r="C17" s="41"/>
      <c r="D17" s="29"/>
      <c r="E17" s="30"/>
      <c r="F17" s="29"/>
      <c r="G17" s="29"/>
      <c r="H17" s="30"/>
      <c r="I17" s="30"/>
      <c r="J17" s="42"/>
      <c r="K17" s="31" t="str">
        <f t="shared" si="0"/>
        <v/>
      </c>
      <c r="L17" s="43"/>
      <c r="M17" s="44" t="str">
        <f>IF($A17="","",SUMIF('NHAP-HANG'!$J$4:$J$1000,$A17,'NHAP-HANG'!$C$4:$C$1000))</f>
        <v/>
      </c>
      <c r="N17" s="44" t="str">
        <f>IF($A17="","",SUMPRODUCT(ISNUMBER(SEARCH($A17,'DON-HANG'!$E$5:$E$1000))*'DON-HANG'!$F$5:$F$1000))</f>
        <v/>
      </c>
      <c r="O17" s="44" t="str">
        <f t="shared" si="1"/>
        <v/>
      </c>
      <c r="P17" s="31" t="str">
        <f>IF($A17="","",SUMPRODUCT(--ISNUMBER(SEARCH($A17,'DON-HANG'!$E$5:$E$1000))))</f>
        <v/>
      </c>
      <c r="Q17" s="31" t="str">
        <f>IF($A17="","",SUMPRODUCT(ISNUMBER(SEARCH($A17,'DON-HANG'!$E$5:$E$1000))*'DON-HANG'!$G$5:$G$1000))</f>
        <v/>
      </c>
      <c r="R17" s="32" t="str">
        <f>IF(OR($A17="",P17=0),"",SUMPRODUCT(MAX(ISNUMBER(SEARCH($A17,'DON-HANG'!$E$5:$E$1000))*'DON-HANG'!$B$5:$B$1000)))</f>
        <v/>
      </c>
      <c r="S17" s="30"/>
      <c r="T17" s="45" t="str">
        <f>IF($A17="","",IFERROR(SUMIF('NHAP-HANG'!$J$4:$J$43,$A17,'NHAP-HANG'!$E$4:$E$43)/SUMIF('NHAP-HANG'!$J$4:$J$43,$A17,'NHAP-HANG'!$C$4:$C$43),""))</f>
        <v/>
      </c>
    </row>
    <row r="18" spans="1:20" ht="31.5" customHeight="1" x14ac:dyDescent="0.3">
      <c r="A18" s="40"/>
      <c r="B18" s="30"/>
      <c r="C18" s="41"/>
      <c r="D18" s="29"/>
      <c r="E18" s="30"/>
      <c r="F18" s="29"/>
      <c r="G18" s="29"/>
      <c r="H18" s="30"/>
      <c r="I18" s="30"/>
      <c r="J18" s="42"/>
      <c r="K18" s="31" t="str">
        <f t="shared" si="0"/>
        <v/>
      </c>
      <c r="L18" s="43"/>
      <c r="M18" s="44" t="str">
        <f>IF($A18="","",SUMIF('NHAP-HANG'!$J$4:$J$1000,$A18,'NHAP-HANG'!$C$4:$C$1000))</f>
        <v/>
      </c>
      <c r="N18" s="44" t="str">
        <f>IF($A18="","",SUMPRODUCT(ISNUMBER(SEARCH($A18,'DON-HANG'!$E$5:$E$1000))*'DON-HANG'!$F$5:$F$1000))</f>
        <v/>
      </c>
      <c r="O18" s="44" t="str">
        <f t="shared" si="1"/>
        <v/>
      </c>
      <c r="P18" s="31" t="str">
        <f>IF($A18="","",SUMPRODUCT(--ISNUMBER(SEARCH($A18,'DON-HANG'!$E$5:$E$1000))))</f>
        <v/>
      </c>
      <c r="Q18" s="31" t="str">
        <f>IF($A18="","",SUMPRODUCT(ISNUMBER(SEARCH($A18,'DON-HANG'!$E$5:$E$1000))*'DON-HANG'!$G$5:$G$1000))</f>
        <v/>
      </c>
      <c r="R18" s="32" t="str">
        <f>IF(OR($A18="",P18=0),"",SUMPRODUCT(MAX(ISNUMBER(SEARCH($A18,'DON-HANG'!$E$5:$E$1000))*'DON-HANG'!$B$5:$B$1000)))</f>
        <v/>
      </c>
      <c r="S18" s="30"/>
      <c r="T18" s="45" t="str">
        <f>IF($A18="","",IFERROR(SUMIF('NHAP-HANG'!$J$4:$J$43,$A18,'NHAP-HANG'!$E$4:$E$43)/SUMIF('NHAP-HANG'!$J$4:$J$43,$A18,'NHAP-HANG'!$C$4:$C$43),""))</f>
        <v/>
      </c>
    </row>
    <row r="19" spans="1:20" ht="31.5" customHeight="1" x14ac:dyDescent="0.3">
      <c r="A19" s="40"/>
      <c r="B19" s="30"/>
      <c r="C19" s="41"/>
      <c r="D19" s="29"/>
      <c r="E19" s="30"/>
      <c r="F19" s="29"/>
      <c r="G19" s="29"/>
      <c r="H19" s="30"/>
      <c r="I19" s="30"/>
      <c r="J19" s="42"/>
      <c r="K19" s="31" t="str">
        <f t="shared" si="0"/>
        <v/>
      </c>
      <c r="L19" s="43"/>
      <c r="M19" s="44" t="str">
        <f>IF($A19="","",SUMIF('NHAP-HANG'!$J$4:$J$1000,$A19,'NHAP-HANG'!$C$4:$C$1000))</f>
        <v/>
      </c>
      <c r="N19" s="44" t="str">
        <f>IF($A19="","",SUMPRODUCT(ISNUMBER(SEARCH($A19,'DON-HANG'!$E$5:$E$1000))*'DON-HANG'!$F$5:$F$1000))</f>
        <v/>
      </c>
      <c r="O19" s="44" t="str">
        <f t="shared" si="1"/>
        <v/>
      </c>
      <c r="P19" s="31" t="str">
        <f>IF($A19="","",SUMPRODUCT(--ISNUMBER(SEARCH($A19,'DON-HANG'!$E$5:$E$1000))))</f>
        <v/>
      </c>
      <c r="Q19" s="31" t="str">
        <f>IF($A19="","",SUMPRODUCT(ISNUMBER(SEARCH($A19,'DON-HANG'!$E$5:$E$1000))*'DON-HANG'!$G$5:$G$1000))</f>
        <v/>
      </c>
      <c r="R19" s="32" t="str">
        <f>IF(OR($A19="",P19=0),"",SUMPRODUCT(MAX(ISNUMBER(SEARCH($A19,'DON-HANG'!$E$5:$E$1000))*'DON-HANG'!$B$5:$B$1000)))</f>
        <v/>
      </c>
      <c r="S19" s="30"/>
      <c r="T19" s="45" t="str">
        <f>IF($A19="","",IFERROR(SUMIF('NHAP-HANG'!$J$4:$J$43,$A19,'NHAP-HANG'!$E$4:$E$43)/SUMIF('NHAP-HANG'!$J$4:$J$43,$A19,'NHAP-HANG'!$C$4:$C$43),""))</f>
        <v/>
      </c>
    </row>
    <row r="20" spans="1:20" ht="31.5" customHeight="1" x14ac:dyDescent="0.3">
      <c r="A20" s="40"/>
      <c r="B20" s="30"/>
      <c r="C20" s="41"/>
      <c r="D20" s="29"/>
      <c r="E20" s="30"/>
      <c r="F20" s="29"/>
      <c r="G20" s="29"/>
      <c r="H20" s="30"/>
      <c r="I20" s="30"/>
      <c r="J20" s="42"/>
      <c r="K20" s="31" t="str">
        <f t="shared" si="0"/>
        <v/>
      </c>
      <c r="L20" s="43"/>
      <c r="M20" s="44" t="str">
        <f>IF($A20="","",SUMIF('NHAP-HANG'!$J$4:$J$1000,$A20,'NHAP-HANG'!$C$4:$C$1000))</f>
        <v/>
      </c>
      <c r="N20" s="44" t="str">
        <f>IF($A20="","",SUMPRODUCT(ISNUMBER(SEARCH($A20,'DON-HANG'!$E$5:$E$1000))*'DON-HANG'!$F$5:$F$1000))</f>
        <v/>
      </c>
      <c r="O20" s="44" t="str">
        <f t="shared" si="1"/>
        <v/>
      </c>
      <c r="P20" s="31" t="str">
        <f>IF($A20="","",SUMPRODUCT(--ISNUMBER(SEARCH($A20,'DON-HANG'!$E$5:$E$1000))))</f>
        <v/>
      </c>
      <c r="Q20" s="31" t="str">
        <f>IF($A20="","",SUMPRODUCT(ISNUMBER(SEARCH($A20,'DON-HANG'!$E$5:$E$1000))*'DON-HANG'!$G$5:$G$1000))</f>
        <v/>
      </c>
      <c r="R20" s="32" t="str">
        <f>IF(OR($A20="",P20=0),"",SUMPRODUCT(MAX(ISNUMBER(SEARCH($A20,'DON-HANG'!$E$5:$E$1000))*'DON-HANG'!$B$5:$B$1000)))</f>
        <v/>
      </c>
      <c r="S20" s="30"/>
      <c r="T20" s="45" t="str">
        <f>IF($A20="","",IFERROR(SUMIF('NHAP-HANG'!$J$4:$J$43,$A20,'NHAP-HANG'!$E$4:$E$43)/SUMIF('NHAP-HANG'!$J$4:$J$43,$A20,'NHAP-HANG'!$C$4:$C$43),""))</f>
        <v/>
      </c>
    </row>
    <row r="21" spans="1:20" ht="31.5" customHeight="1" x14ac:dyDescent="0.3">
      <c r="A21" s="40"/>
      <c r="B21" s="30"/>
      <c r="C21" s="41"/>
      <c r="D21" s="29"/>
      <c r="E21" s="30"/>
      <c r="F21" s="29"/>
      <c r="G21" s="29"/>
      <c r="H21" s="30"/>
      <c r="I21" s="30"/>
      <c r="J21" s="42"/>
      <c r="K21" s="31" t="str">
        <f t="shared" si="0"/>
        <v/>
      </c>
      <c r="L21" s="43"/>
      <c r="M21" s="44" t="str">
        <f>IF($A21="","",SUMIF('NHAP-HANG'!$J$4:$J$1000,$A21,'NHAP-HANG'!$C$4:$C$1000))</f>
        <v/>
      </c>
      <c r="N21" s="44" t="str">
        <f>IF($A21="","",SUMPRODUCT(ISNUMBER(SEARCH($A21,'DON-HANG'!$E$5:$E$1000))*'DON-HANG'!$F$5:$F$1000))</f>
        <v/>
      </c>
      <c r="O21" s="44" t="str">
        <f t="shared" si="1"/>
        <v/>
      </c>
      <c r="P21" s="31" t="str">
        <f>IF($A21="","",SUMPRODUCT(--ISNUMBER(SEARCH($A21,'DON-HANG'!$E$5:$E$1000))))</f>
        <v/>
      </c>
      <c r="Q21" s="31" t="str">
        <f>IF($A21="","",SUMPRODUCT(ISNUMBER(SEARCH($A21,'DON-HANG'!$E$5:$E$1000))*'DON-HANG'!$G$5:$G$1000))</f>
        <v/>
      </c>
      <c r="R21" s="32" t="str">
        <f>IF(OR($A21="",P21=0),"",SUMPRODUCT(MAX(ISNUMBER(SEARCH($A21,'DON-HANG'!$E$5:$E$1000))*'DON-HANG'!$B$5:$B$1000)))</f>
        <v/>
      </c>
      <c r="S21" s="30"/>
      <c r="T21" s="45" t="str">
        <f>IF($A21="","",IFERROR(SUMIF('NHAP-HANG'!$J$4:$J$43,$A21,'NHAP-HANG'!$E$4:$E$43)/SUMIF('NHAP-HANG'!$J$4:$J$43,$A21,'NHAP-HANG'!$C$4:$C$43),""))</f>
        <v/>
      </c>
    </row>
    <row r="22" spans="1:20" ht="31.5" customHeight="1" x14ac:dyDescent="0.3">
      <c r="A22" s="40"/>
      <c r="B22" s="30"/>
      <c r="C22" s="41"/>
      <c r="D22" s="29"/>
      <c r="E22" s="30"/>
      <c r="F22" s="29"/>
      <c r="G22" s="29"/>
      <c r="H22" s="30"/>
      <c r="I22" s="30"/>
      <c r="J22" s="42"/>
      <c r="K22" s="31" t="str">
        <f t="shared" si="0"/>
        <v/>
      </c>
      <c r="L22" s="43"/>
      <c r="M22" s="44" t="str">
        <f>IF($A22="","",SUMIF('NHAP-HANG'!$J$4:$J$1000,$A22,'NHAP-HANG'!$C$4:$C$1000))</f>
        <v/>
      </c>
      <c r="N22" s="44" t="str">
        <f>IF($A22="","",SUMPRODUCT(ISNUMBER(SEARCH($A22,'DON-HANG'!$E$5:$E$1000))*'DON-HANG'!$F$5:$F$1000))</f>
        <v/>
      </c>
      <c r="O22" s="44" t="str">
        <f t="shared" si="1"/>
        <v/>
      </c>
      <c r="P22" s="31" t="str">
        <f>IF($A22="","",SUMPRODUCT(--ISNUMBER(SEARCH($A22,'DON-HANG'!$E$5:$E$1000))))</f>
        <v/>
      </c>
      <c r="Q22" s="31" t="str">
        <f>IF($A22="","",SUMPRODUCT(ISNUMBER(SEARCH($A22,'DON-HANG'!$E$5:$E$1000))*'DON-HANG'!$G$5:$G$1000))</f>
        <v/>
      </c>
      <c r="R22" s="32" t="str">
        <f>IF(OR($A22="",P22=0),"",SUMPRODUCT(MAX(ISNUMBER(SEARCH($A22,'DON-HANG'!$E$5:$E$1000))*'DON-HANG'!$B$5:$B$1000)))</f>
        <v/>
      </c>
      <c r="S22" s="30"/>
      <c r="T22" s="45" t="str">
        <f>IF($A22="","",IFERROR(SUMIF('NHAP-HANG'!$J$4:$J$43,$A22,'NHAP-HANG'!$E$4:$E$43)/SUMIF('NHAP-HANG'!$J$4:$J$43,$A22,'NHAP-HANG'!$C$4:$C$43),""))</f>
        <v/>
      </c>
    </row>
    <row r="23" spans="1:20" ht="31.5" customHeight="1" x14ac:dyDescent="0.3">
      <c r="A23" s="40"/>
      <c r="B23" s="30"/>
      <c r="C23" s="41"/>
      <c r="D23" s="29"/>
      <c r="E23" s="30"/>
      <c r="F23" s="29"/>
      <c r="G23" s="29"/>
      <c r="H23" s="30"/>
      <c r="I23" s="30"/>
      <c r="J23" s="42"/>
      <c r="K23" s="31" t="str">
        <f t="shared" si="0"/>
        <v/>
      </c>
      <c r="L23" s="43"/>
      <c r="M23" s="44" t="str">
        <f>IF($A23="","",SUMIF('NHAP-HANG'!$J$4:$J$1000,$A23,'NHAP-HANG'!$C$4:$C$1000))</f>
        <v/>
      </c>
      <c r="N23" s="44" t="str">
        <f>IF($A23="","",SUMPRODUCT(ISNUMBER(SEARCH($A23,'DON-HANG'!$E$5:$E$1000))*'DON-HANG'!$F$5:$F$1000))</f>
        <v/>
      </c>
      <c r="O23" s="44" t="str">
        <f t="shared" si="1"/>
        <v/>
      </c>
      <c r="P23" s="31" t="str">
        <f>IF($A23="","",SUMPRODUCT(--ISNUMBER(SEARCH($A23,'DON-HANG'!$E$5:$E$1000))))</f>
        <v/>
      </c>
      <c r="Q23" s="31" t="str">
        <f>IF($A23="","",SUMPRODUCT(ISNUMBER(SEARCH($A23,'DON-HANG'!$E$5:$E$1000))*'DON-HANG'!$G$5:$G$1000))</f>
        <v/>
      </c>
      <c r="R23" s="32" t="str">
        <f>IF(OR($A23="",P23=0),"",SUMPRODUCT(MAX(ISNUMBER(SEARCH($A23,'DON-HANG'!$E$5:$E$1000))*'DON-HANG'!$B$5:$B$1000)))</f>
        <v/>
      </c>
      <c r="S23" s="30"/>
      <c r="T23" s="45" t="str">
        <f>IF($A23="","",IFERROR(SUMIF('NHAP-HANG'!$J$4:$J$43,$A23,'NHAP-HANG'!$E$4:$E$43)/SUMIF('NHAP-HANG'!$J$4:$J$43,$A23,'NHAP-HANG'!$C$4:$C$43),""))</f>
        <v/>
      </c>
    </row>
    <row r="24" spans="1:20" ht="31.5" customHeight="1" x14ac:dyDescent="0.3">
      <c r="A24" s="40"/>
      <c r="B24" s="30"/>
      <c r="C24" s="41"/>
      <c r="D24" s="29"/>
      <c r="E24" s="30"/>
      <c r="F24" s="29"/>
      <c r="G24" s="29"/>
      <c r="H24" s="30"/>
      <c r="I24" s="30"/>
      <c r="J24" s="42"/>
      <c r="K24" s="31" t="str">
        <f t="shared" si="0"/>
        <v/>
      </c>
      <c r="L24" s="43"/>
      <c r="M24" s="44" t="str">
        <f>IF($A24="","",SUMIF('NHAP-HANG'!$J$4:$J$1000,$A24,'NHAP-HANG'!$C$4:$C$1000))</f>
        <v/>
      </c>
      <c r="N24" s="44" t="str">
        <f>IF($A24="","",SUMPRODUCT(ISNUMBER(SEARCH($A24,'DON-HANG'!$E$5:$E$1000))*'DON-HANG'!$F$5:$F$1000))</f>
        <v/>
      </c>
      <c r="O24" s="44" t="str">
        <f t="shared" si="1"/>
        <v/>
      </c>
      <c r="P24" s="31" t="str">
        <f>IF($A24="","",SUMPRODUCT(--ISNUMBER(SEARCH($A24,'DON-HANG'!$E$5:$E$1000))))</f>
        <v/>
      </c>
      <c r="Q24" s="31" t="str">
        <f>IF($A24="","",SUMPRODUCT(ISNUMBER(SEARCH($A24,'DON-HANG'!$E$5:$E$1000))*'DON-HANG'!$G$5:$G$1000))</f>
        <v/>
      </c>
      <c r="R24" s="32" t="str">
        <f>IF(OR($A24="",P24=0),"",SUMPRODUCT(MAX(ISNUMBER(SEARCH($A24,'DON-HANG'!$E$5:$E$1000))*'DON-HANG'!$B$5:$B$1000)))</f>
        <v/>
      </c>
      <c r="S24" s="30"/>
      <c r="T24" s="45" t="str">
        <f>IF($A24="","",IFERROR(SUMIF('NHAP-HANG'!$J$4:$J$43,$A24,'NHAP-HANG'!$E$4:$E$43)/SUMIF('NHAP-HANG'!$J$4:$J$43,$A24,'NHAP-HANG'!$C$4:$C$43),""))</f>
        <v/>
      </c>
    </row>
    <row r="25" spans="1:20" ht="31.5" customHeight="1" x14ac:dyDescent="0.3">
      <c r="A25" s="40"/>
      <c r="B25" s="30"/>
      <c r="C25" s="41"/>
      <c r="D25" s="29"/>
      <c r="E25" s="30"/>
      <c r="F25" s="29"/>
      <c r="G25" s="29"/>
      <c r="H25" s="30"/>
      <c r="I25" s="30"/>
      <c r="J25" s="42"/>
      <c r="K25" s="31" t="str">
        <f t="shared" si="0"/>
        <v/>
      </c>
      <c r="L25" s="43"/>
      <c r="M25" s="44" t="str">
        <f>IF($A25="","",SUMIF('NHAP-HANG'!$J$4:$J$1000,$A25,'NHAP-HANG'!$C$4:$C$1000))</f>
        <v/>
      </c>
      <c r="N25" s="44" t="str">
        <f>IF($A25="","",SUMPRODUCT(ISNUMBER(SEARCH($A25,'DON-HANG'!$E$5:$E$1000))*'DON-HANG'!$F$5:$F$1000))</f>
        <v/>
      </c>
      <c r="O25" s="44" t="str">
        <f t="shared" si="1"/>
        <v/>
      </c>
      <c r="P25" s="31" t="str">
        <f>IF($A25="","",SUMPRODUCT(--ISNUMBER(SEARCH($A25,'DON-HANG'!$E$5:$E$1000))))</f>
        <v/>
      </c>
      <c r="Q25" s="31" t="str">
        <f>IF($A25="","",SUMPRODUCT(ISNUMBER(SEARCH($A25,'DON-HANG'!$E$5:$E$1000))*'DON-HANG'!$G$5:$G$1000))</f>
        <v/>
      </c>
      <c r="R25" s="32" t="str">
        <f>IF(OR($A25="",P25=0),"",SUMPRODUCT(MAX(ISNUMBER(SEARCH($A25,'DON-HANG'!$E$5:$E$1000))*'DON-HANG'!$B$5:$B$1000)))</f>
        <v/>
      </c>
      <c r="S25" s="30"/>
      <c r="T25" s="45" t="str">
        <f>IF($A25="","",IFERROR(SUMIF('NHAP-HANG'!$J$4:$J$43,$A25,'NHAP-HANG'!$E$4:$E$43)/SUMIF('NHAP-HANG'!$J$4:$J$43,$A25,'NHAP-HANG'!$C$4:$C$43),""))</f>
        <v/>
      </c>
    </row>
    <row r="26" spans="1:20" ht="31.5" customHeight="1" x14ac:dyDescent="0.3">
      <c r="A26" s="40"/>
      <c r="B26" s="30"/>
      <c r="C26" s="41"/>
      <c r="D26" s="29"/>
      <c r="E26" s="30"/>
      <c r="F26" s="29"/>
      <c r="G26" s="29"/>
      <c r="H26" s="30"/>
      <c r="I26" s="30"/>
      <c r="J26" s="42"/>
      <c r="K26" s="31" t="str">
        <f t="shared" si="0"/>
        <v/>
      </c>
      <c r="L26" s="43"/>
      <c r="M26" s="44" t="str">
        <f>IF($A26="","",SUMIF('NHAP-HANG'!$J$4:$J$1000,$A26,'NHAP-HANG'!$C$4:$C$1000))</f>
        <v/>
      </c>
      <c r="N26" s="44" t="str">
        <f>IF($A26="","",SUMPRODUCT(ISNUMBER(SEARCH($A26,'DON-HANG'!$E$5:$E$1000))*'DON-HANG'!$F$5:$F$1000))</f>
        <v/>
      </c>
      <c r="O26" s="44" t="str">
        <f t="shared" si="1"/>
        <v/>
      </c>
      <c r="P26" s="31" t="str">
        <f>IF($A26="","",SUMPRODUCT(--ISNUMBER(SEARCH($A26,'DON-HANG'!$E$5:$E$1000))))</f>
        <v/>
      </c>
      <c r="Q26" s="31" t="str">
        <f>IF($A26="","",SUMPRODUCT(ISNUMBER(SEARCH($A26,'DON-HANG'!$E$5:$E$1000))*'DON-HANG'!$G$5:$G$1000))</f>
        <v/>
      </c>
      <c r="R26" s="32" t="str">
        <f>IF(OR($A26="",P26=0),"",SUMPRODUCT(MAX(ISNUMBER(SEARCH($A26,'DON-HANG'!$E$5:$E$1000))*'DON-HANG'!$B$5:$B$1000)))</f>
        <v/>
      </c>
      <c r="S26" s="30"/>
      <c r="T26" s="45" t="str">
        <f>IF($A26="","",IFERROR(SUMIF('NHAP-HANG'!$J$4:$J$43,$A26,'NHAP-HANG'!$E$4:$E$43)/SUMIF('NHAP-HANG'!$J$4:$J$43,$A26,'NHAP-HANG'!$C$4:$C$43),""))</f>
        <v/>
      </c>
    </row>
    <row r="27" spans="1:20" ht="31.5" customHeight="1" x14ac:dyDescent="0.3">
      <c r="A27" s="40"/>
      <c r="B27" s="30"/>
      <c r="C27" s="41"/>
      <c r="D27" s="29"/>
      <c r="E27" s="30"/>
      <c r="F27" s="29"/>
      <c r="G27" s="29"/>
      <c r="H27" s="30"/>
      <c r="I27" s="30"/>
      <c r="J27" s="42"/>
      <c r="K27" s="31" t="str">
        <f t="shared" si="0"/>
        <v/>
      </c>
      <c r="L27" s="43"/>
      <c r="M27" s="44" t="str">
        <f>IF($A27="","",SUMIF('NHAP-HANG'!$J$4:$J$1000,$A27,'NHAP-HANG'!$C$4:$C$1000))</f>
        <v/>
      </c>
      <c r="N27" s="44" t="str">
        <f>IF($A27="","",SUMPRODUCT(ISNUMBER(SEARCH($A27,'DON-HANG'!$E$5:$E$1000))*'DON-HANG'!$F$5:$F$1000))</f>
        <v/>
      </c>
      <c r="O27" s="44" t="str">
        <f t="shared" si="1"/>
        <v/>
      </c>
      <c r="P27" s="31" t="str">
        <f>IF($A27="","",SUMPRODUCT(--ISNUMBER(SEARCH($A27,'DON-HANG'!$E$5:$E$1000))))</f>
        <v/>
      </c>
      <c r="Q27" s="31" t="str">
        <f>IF($A27="","",SUMPRODUCT(ISNUMBER(SEARCH($A27,'DON-HANG'!$E$5:$E$1000))*'DON-HANG'!$G$5:$G$1000))</f>
        <v/>
      </c>
      <c r="R27" s="32" t="str">
        <f>IF(OR($A27="",P27=0),"",SUMPRODUCT(MAX(ISNUMBER(SEARCH($A27,'DON-HANG'!$E$5:$E$1000))*'DON-HANG'!$B$5:$B$1000)))</f>
        <v/>
      </c>
      <c r="S27" s="30"/>
      <c r="T27" s="45" t="str">
        <f>IF($A27="","",IFERROR(SUMIF('NHAP-HANG'!$J$4:$J$43,$A27,'NHAP-HANG'!$E$4:$E$43)/SUMIF('NHAP-HANG'!$J$4:$J$43,$A27,'NHAP-HANG'!$C$4:$C$43),""))</f>
        <v/>
      </c>
    </row>
    <row r="28" spans="1:20" ht="31.5" customHeight="1" x14ac:dyDescent="0.3">
      <c r="A28" s="40"/>
      <c r="B28" s="30"/>
      <c r="C28" s="41"/>
      <c r="D28" s="29"/>
      <c r="E28" s="30"/>
      <c r="F28" s="29"/>
      <c r="G28" s="29"/>
      <c r="H28" s="30"/>
      <c r="I28" s="30"/>
      <c r="J28" s="42"/>
      <c r="K28" s="31" t="str">
        <f t="shared" si="0"/>
        <v/>
      </c>
      <c r="L28" s="43"/>
      <c r="M28" s="44" t="str">
        <f>IF($A28="","",SUMIF('NHAP-HANG'!$J$4:$J$1000,$A28,'NHAP-HANG'!$C$4:$C$1000))</f>
        <v/>
      </c>
      <c r="N28" s="44" t="str">
        <f>IF($A28="","",SUMPRODUCT(ISNUMBER(SEARCH($A28,'DON-HANG'!$E$5:$E$1000))*'DON-HANG'!$F$5:$F$1000))</f>
        <v/>
      </c>
      <c r="O28" s="44" t="str">
        <f t="shared" si="1"/>
        <v/>
      </c>
      <c r="P28" s="31" t="str">
        <f>IF($A28="","",SUMPRODUCT(--ISNUMBER(SEARCH($A28,'DON-HANG'!$E$5:$E$1000))))</f>
        <v/>
      </c>
      <c r="Q28" s="31" t="str">
        <f>IF($A28="","",SUMPRODUCT(ISNUMBER(SEARCH($A28,'DON-HANG'!$E$5:$E$1000))*'DON-HANG'!$G$5:$G$1000))</f>
        <v/>
      </c>
      <c r="R28" s="32" t="str">
        <f>IF(OR($A28="",P28=0),"",SUMPRODUCT(MAX(ISNUMBER(SEARCH($A28,'DON-HANG'!$E$5:$E$1000))*'DON-HANG'!$B$5:$B$1000)))</f>
        <v/>
      </c>
      <c r="S28" s="30"/>
      <c r="T28" s="45" t="str">
        <f>IF($A28="","",IFERROR(SUMIF('NHAP-HANG'!$J$4:$J$43,$A28,'NHAP-HANG'!$E$4:$E$43)/SUMIF('NHAP-HANG'!$J$4:$J$43,$A28,'NHAP-HANG'!$C$4:$C$43),""))</f>
        <v/>
      </c>
    </row>
    <row r="29" spans="1:20" ht="31.5" customHeight="1" x14ac:dyDescent="0.3">
      <c r="A29" s="40"/>
      <c r="B29" s="30"/>
      <c r="C29" s="41"/>
      <c r="D29" s="29"/>
      <c r="E29" s="30"/>
      <c r="F29" s="29"/>
      <c r="G29" s="29"/>
      <c r="H29" s="30"/>
      <c r="I29" s="30"/>
      <c r="J29" s="42"/>
      <c r="K29" s="31" t="str">
        <f t="shared" si="0"/>
        <v/>
      </c>
      <c r="L29" s="43"/>
      <c r="M29" s="44" t="str">
        <f>IF($A29="","",SUMIF('NHAP-HANG'!$J$4:$J$1000,$A29,'NHAP-HANG'!$C$4:$C$1000))</f>
        <v/>
      </c>
      <c r="N29" s="44" t="str">
        <f>IF($A29="","",SUMPRODUCT(ISNUMBER(SEARCH($A29,'DON-HANG'!$E$5:$E$1000))*'DON-HANG'!$F$5:$F$1000))</f>
        <v/>
      </c>
      <c r="O29" s="44" t="str">
        <f t="shared" si="1"/>
        <v/>
      </c>
      <c r="P29" s="31" t="str">
        <f>IF($A29="","",SUMPRODUCT(--ISNUMBER(SEARCH($A29,'DON-HANG'!$E$5:$E$1000))))</f>
        <v/>
      </c>
      <c r="Q29" s="31" t="str">
        <f>IF($A29="","",SUMPRODUCT(ISNUMBER(SEARCH($A29,'DON-HANG'!$E$5:$E$1000))*'DON-HANG'!$G$5:$G$1000))</f>
        <v/>
      </c>
      <c r="R29" s="32" t="str">
        <f>IF(OR($A29="",P29=0),"",SUMPRODUCT(MAX(ISNUMBER(SEARCH($A29,'DON-HANG'!$E$5:$E$1000))*'DON-HANG'!$B$5:$B$1000)))</f>
        <v/>
      </c>
      <c r="S29" s="30"/>
      <c r="T29" s="45" t="str">
        <f>IF($A29="","",IFERROR(SUMIF('NHAP-HANG'!$J$4:$J$43,$A29,'NHAP-HANG'!$E$4:$E$43)/SUMIF('NHAP-HANG'!$J$4:$J$43,$A29,'NHAP-HANG'!$C$4:$C$43),""))</f>
        <v/>
      </c>
    </row>
    <row r="30" spans="1:20" ht="31.5" customHeight="1" x14ac:dyDescent="0.3">
      <c r="A30" s="40"/>
      <c r="B30" s="30"/>
      <c r="C30" s="41"/>
      <c r="D30" s="29"/>
      <c r="E30" s="30"/>
      <c r="F30" s="29"/>
      <c r="G30" s="29"/>
      <c r="H30" s="30"/>
      <c r="I30" s="30"/>
      <c r="J30" s="42"/>
      <c r="K30" s="31" t="str">
        <f t="shared" si="0"/>
        <v/>
      </c>
      <c r="L30" s="43"/>
      <c r="M30" s="44" t="str">
        <f>IF($A30="","",SUMIF('NHAP-HANG'!$J$4:$J$1000,$A30,'NHAP-HANG'!$C$4:$C$1000))</f>
        <v/>
      </c>
      <c r="N30" s="44" t="str">
        <f>IF($A30="","",SUMPRODUCT(ISNUMBER(SEARCH($A30,'DON-HANG'!$E$5:$E$1000))*'DON-HANG'!$F$5:$F$1000))</f>
        <v/>
      </c>
      <c r="O30" s="44" t="str">
        <f t="shared" si="1"/>
        <v/>
      </c>
      <c r="P30" s="31" t="str">
        <f>IF($A30="","",SUMPRODUCT(--ISNUMBER(SEARCH($A30,'DON-HANG'!$E$5:$E$1000))))</f>
        <v/>
      </c>
      <c r="Q30" s="31" t="str">
        <f>IF($A30="","",SUMPRODUCT(ISNUMBER(SEARCH($A30,'DON-HANG'!$E$5:$E$1000))*'DON-HANG'!$G$5:$G$1000))</f>
        <v/>
      </c>
      <c r="R30" s="32" t="str">
        <f>IF(OR($A30="",P30=0),"",SUMPRODUCT(MAX(ISNUMBER(SEARCH($A30,'DON-HANG'!$E$5:$E$1000))*'DON-HANG'!$B$5:$B$1000)))</f>
        <v/>
      </c>
      <c r="S30" s="30"/>
      <c r="T30" s="45" t="str">
        <f>IF($A30="","",IFERROR(SUMIF('NHAP-HANG'!$J$4:$J$43,$A30,'NHAP-HANG'!$E$4:$E$43)/SUMIF('NHAP-HANG'!$J$4:$J$43,$A30,'NHAP-HANG'!$C$4:$C$43),""))</f>
        <v/>
      </c>
    </row>
    <row r="31" spans="1:20" ht="31.5" customHeight="1" x14ac:dyDescent="0.3">
      <c r="A31" s="40"/>
      <c r="B31" s="30"/>
      <c r="C31" s="41"/>
      <c r="D31" s="29"/>
      <c r="E31" s="30"/>
      <c r="F31" s="29"/>
      <c r="G31" s="29"/>
      <c r="H31" s="30"/>
      <c r="I31" s="30"/>
      <c r="J31" s="42"/>
      <c r="K31" s="31" t="str">
        <f t="shared" si="0"/>
        <v/>
      </c>
      <c r="L31" s="43"/>
      <c r="M31" s="44" t="str">
        <f>IF($A31="","",SUMIF('NHAP-HANG'!$J$4:$J$1000,$A31,'NHAP-HANG'!$C$4:$C$1000))</f>
        <v/>
      </c>
      <c r="N31" s="44" t="str">
        <f>IF($A31="","",SUMPRODUCT(ISNUMBER(SEARCH($A31,'DON-HANG'!$E$5:$E$1000))*'DON-HANG'!$F$5:$F$1000))</f>
        <v/>
      </c>
      <c r="O31" s="44" t="str">
        <f t="shared" si="1"/>
        <v/>
      </c>
      <c r="P31" s="31" t="str">
        <f>IF($A31="","",SUMPRODUCT(--ISNUMBER(SEARCH($A31,'DON-HANG'!$E$5:$E$1000))))</f>
        <v/>
      </c>
      <c r="Q31" s="31" t="str">
        <f>IF($A31="","",SUMPRODUCT(ISNUMBER(SEARCH($A31,'DON-HANG'!$E$5:$E$1000))*'DON-HANG'!$G$5:$G$1000))</f>
        <v/>
      </c>
      <c r="R31" s="32" t="str">
        <f>IF(OR($A31="",P31=0),"",SUMPRODUCT(MAX(ISNUMBER(SEARCH($A31,'DON-HANG'!$E$5:$E$1000))*'DON-HANG'!$B$5:$B$1000)))</f>
        <v/>
      </c>
      <c r="S31" s="30"/>
      <c r="T31" s="45" t="str">
        <f>IF($A31="","",IFERROR(SUMIF('NHAP-HANG'!$J$4:$J$43,$A31,'NHAP-HANG'!$E$4:$E$43)/SUMIF('NHAP-HANG'!$J$4:$J$43,$A31,'NHAP-HANG'!$C$4:$C$43),""))</f>
        <v/>
      </c>
    </row>
    <row r="32" spans="1:20" ht="31.5" customHeight="1" x14ac:dyDescent="0.3">
      <c r="A32" s="40"/>
      <c r="B32" s="30"/>
      <c r="C32" s="41"/>
      <c r="D32" s="29"/>
      <c r="E32" s="30"/>
      <c r="F32" s="29"/>
      <c r="G32" s="29"/>
      <c r="H32" s="30"/>
      <c r="I32" s="30"/>
      <c r="J32" s="42"/>
      <c r="K32" s="31" t="str">
        <f t="shared" si="0"/>
        <v/>
      </c>
      <c r="L32" s="43"/>
      <c r="M32" s="44" t="str">
        <f>IF($A32="","",SUMIF('NHAP-HANG'!$J$4:$J$1000,$A32,'NHAP-HANG'!$C$4:$C$1000))</f>
        <v/>
      </c>
      <c r="N32" s="44" t="str">
        <f>IF($A32="","",SUMPRODUCT(ISNUMBER(SEARCH($A32,'DON-HANG'!$E$5:$E$1000))*'DON-HANG'!$F$5:$F$1000))</f>
        <v/>
      </c>
      <c r="O32" s="44" t="str">
        <f t="shared" si="1"/>
        <v/>
      </c>
      <c r="P32" s="31" t="str">
        <f>IF($A32="","",SUMPRODUCT(--ISNUMBER(SEARCH($A32,'DON-HANG'!$E$5:$E$1000))))</f>
        <v/>
      </c>
      <c r="Q32" s="31" t="str">
        <f>IF($A32="","",SUMPRODUCT(ISNUMBER(SEARCH($A32,'DON-HANG'!$E$5:$E$1000))*'DON-HANG'!$G$5:$G$1000))</f>
        <v/>
      </c>
      <c r="R32" s="32" t="str">
        <f>IF(OR($A32="",P32=0),"",SUMPRODUCT(MAX(ISNUMBER(SEARCH($A32,'DON-HANG'!$E$5:$E$1000))*'DON-HANG'!$B$5:$B$1000)))</f>
        <v/>
      </c>
      <c r="S32" s="30"/>
      <c r="T32" s="45" t="str">
        <f>IF($A32="","",IFERROR(SUMIF('NHAP-HANG'!$J$4:$J$43,$A32,'NHAP-HANG'!$E$4:$E$43)/SUMIF('NHAP-HANG'!$J$4:$J$43,$A32,'NHAP-HANG'!$C$4:$C$43),""))</f>
        <v/>
      </c>
    </row>
    <row r="33" spans="1:20" ht="31.5" customHeight="1" x14ac:dyDescent="0.3">
      <c r="A33" s="40"/>
      <c r="B33" s="30"/>
      <c r="C33" s="41"/>
      <c r="D33" s="29"/>
      <c r="E33" s="30"/>
      <c r="F33" s="29"/>
      <c r="G33" s="29"/>
      <c r="H33" s="30"/>
      <c r="I33" s="30"/>
      <c r="J33" s="42"/>
      <c r="K33" s="31" t="str">
        <f t="shared" si="0"/>
        <v/>
      </c>
      <c r="L33" s="43"/>
      <c r="M33" s="44" t="str">
        <f>IF($A33="","",SUMIF('NHAP-HANG'!$J$4:$J$1000,$A33,'NHAP-HANG'!$C$4:$C$1000))</f>
        <v/>
      </c>
      <c r="N33" s="44" t="str">
        <f>IF($A33="","",SUMPRODUCT(ISNUMBER(SEARCH($A33,'DON-HANG'!$E$5:$E$1000))*'DON-HANG'!$F$5:$F$1000))</f>
        <v/>
      </c>
      <c r="O33" s="44" t="str">
        <f t="shared" si="1"/>
        <v/>
      </c>
      <c r="P33" s="31" t="str">
        <f>IF($A33="","",SUMPRODUCT(--ISNUMBER(SEARCH($A33,'DON-HANG'!$E$5:$E$1000))))</f>
        <v/>
      </c>
      <c r="Q33" s="31" t="str">
        <f>IF($A33="","",SUMPRODUCT(ISNUMBER(SEARCH($A33,'DON-HANG'!$E$5:$E$1000))*'DON-HANG'!$G$5:$G$1000))</f>
        <v/>
      </c>
      <c r="R33" s="32" t="str">
        <f>IF(OR($A33="",P33=0),"",SUMPRODUCT(MAX(ISNUMBER(SEARCH($A33,'DON-HANG'!$E$5:$E$1000))*'DON-HANG'!$B$5:$B$1000)))</f>
        <v/>
      </c>
      <c r="S33" s="30"/>
      <c r="T33" s="45" t="str">
        <f>IF($A33="","",IFERROR(SUMIF('NHAP-HANG'!$J$4:$J$43,$A33,'NHAP-HANG'!$E$4:$E$43)/SUMIF('NHAP-HANG'!$J$4:$J$43,$A33,'NHAP-HANG'!$C$4:$C$43),""))</f>
        <v/>
      </c>
    </row>
    <row r="34" spans="1:20" ht="31.5" customHeight="1" x14ac:dyDescent="0.3">
      <c r="A34" s="40"/>
      <c r="B34" s="30"/>
      <c r="C34" s="41"/>
      <c r="D34" s="29"/>
      <c r="E34" s="30"/>
      <c r="F34" s="29"/>
      <c r="G34" s="29"/>
      <c r="H34" s="30"/>
      <c r="I34" s="30"/>
      <c r="J34" s="42"/>
      <c r="K34" s="31" t="str">
        <f t="shared" si="0"/>
        <v/>
      </c>
      <c r="L34" s="43"/>
      <c r="M34" s="44" t="str">
        <f>IF($A34="","",SUMIF('NHAP-HANG'!$J$4:$J$1000,$A34,'NHAP-HANG'!$C$4:$C$1000))</f>
        <v/>
      </c>
      <c r="N34" s="44" t="str">
        <f>IF($A34="","",SUMPRODUCT(ISNUMBER(SEARCH($A34,'DON-HANG'!$E$5:$E$1000))*'DON-HANG'!$F$5:$F$1000))</f>
        <v/>
      </c>
      <c r="O34" s="44" t="str">
        <f t="shared" si="1"/>
        <v/>
      </c>
      <c r="P34" s="31" t="str">
        <f>IF($A34="","",SUMPRODUCT(--ISNUMBER(SEARCH($A34,'DON-HANG'!$E$5:$E$1000))))</f>
        <v/>
      </c>
      <c r="Q34" s="31" t="str">
        <f>IF($A34="","",SUMPRODUCT(ISNUMBER(SEARCH($A34,'DON-HANG'!$E$5:$E$1000))*'DON-HANG'!$G$5:$G$1000))</f>
        <v/>
      </c>
      <c r="R34" s="32" t="str">
        <f>IF(OR($A34="",P34=0),"",SUMPRODUCT(MAX(ISNUMBER(SEARCH($A34,'DON-HANG'!$E$5:$E$1000))*'DON-HANG'!$B$5:$B$1000)))</f>
        <v/>
      </c>
      <c r="S34" s="30"/>
      <c r="T34" s="45" t="str">
        <f>IF($A34="","",IFERROR(SUMIF('NHAP-HANG'!$J$4:$J$43,$A34,'NHAP-HANG'!$E$4:$E$43)/SUMIF('NHAP-HANG'!$J$4:$J$43,$A34,'NHAP-HANG'!$C$4:$C$43),""))</f>
        <v/>
      </c>
    </row>
  </sheetData>
  <sheetProtection sheet="1" formatCells="0" formatColumns="0" formatRows="0" insertColumns="0" insertRows="0" deleteColumns="0" deleteRows="0" sort="0" autoFilter="0"/>
  <autoFilter ref="A4:T34" xr:uid="{00000000-0009-0000-0000-000004000000}"/>
  <mergeCells count="7">
    <mergeCell ref="A1:Q1"/>
    <mergeCell ref="R1:S1"/>
    <mergeCell ref="A2:S2"/>
    <mergeCell ref="A3:C3"/>
    <mergeCell ref="D3:K3"/>
    <mergeCell ref="L3:O3"/>
    <mergeCell ref="P3:S3"/>
  </mergeCells>
  <conditionalFormatting sqref="A5:A34">
    <cfRule type="expression" dxfId="15" priority="2">
      <formula>AND($A5&lt;&gt;"",COUNTIF($A$5:$A$34,$A5)&gt;1)</formula>
    </cfRule>
  </conditionalFormatting>
  <conditionalFormatting sqref="O5:O34">
    <cfRule type="expression" dxfId="14" priority="3">
      <formula>AND(ISNUMBER($O5),$O5&lt;=0)</formula>
    </cfRule>
    <cfRule type="expression" dxfId="13" priority="4">
      <formula>AND(ISNUMBER($O5),$O5&gt;0,$O5&lt;=5)</formula>
    </cfRule>
  </conditionalFormatting>
  <dataValidations count="4">
    <dataValidation type="list" allowBlank="1" sqref="E5:E34" xr:uid="{00000000-0002-0000-0400-000000000000}">
      <formula1>"Decal giấy,Decal nhiệt,Decal PVC,Xi bạc,Giấy in nhiệt,Ribbon/mực,Máy &amp; thiết bị,Phụ kiện,Khác"</formula1>
      <formula2>0</formula2>
    </dataValidation>
    <dataValidation type="list" allowBlank="1" sqref="G5:G34" xr:uid="{00000000-0002-0000-0400-000001000000}">
      <formula1>"Cuộn,Cái,Hộp,Tập,Mét,Bộ"</formula1>
      <formula2>0</formula2>
    </dataValidation>
    <dataValidation type="list" allowBlank="1" sqref="H5:H34" xr:uid="{00000000-0002-0000-0400-000002000000}">
      <formula1>"Không cần ribbon,Wax,Wax Premium,Wax Resin,Resin"</formula1>
      <formula2>0</formula2>
    </dataValidation>
    <dataValidation type="list" allowBlank="1" sqref="I5:I34" xr:uid="{00000000-0002-0000-0400-000003000000}">
      <formula1>DSNCC</formula1>
      <formula2>0</formula2>
    </dataValidation>
  </dataValidations>
  <hyperlinks>
    <hyperlink ref="R1" location="'MUC-LUC'!A1" display="« MỤC LỤC" xr:uid="{00000000-0004-0000-0400-000000000000}"/>
  </hyperlinks>
  <pageMargins left="0.75" right="0.75" top="1" bottom="1" header="0.511811023622047" footer="0.511811023622047"/>
  <pageSetup fitToHeight="0" orientation="landscape" horizontalDpi="300" verticalDpi="30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3"/>
  <sheetViews>
    <sheetView showGridLines="0" zoomScaleNormal="100" workbookViewId="0">
      <pane xSplit="2" ySplit="3" topLeftCell="C4" activePane="bottomRight" state="frozen"/>
      <selection pane="topRight" activeCell="C1" sqref="C1"/>
      <selection pane="bottomLeft" activeCell="A4" sqref="A4"/>
      <selection pane="bottomRight" activeCell="G8" sqref="G8"/>
    </sheetView>
  </sheetViews>
  <sheetFormatPr defaultColWidth="8.6640625" defaultRowHeight="14.4" x14ac:dyDescent="0.3"/>
  <cols>
    <col min="1" max="1" width="8" style="13" customWidth="1"/>
    <col min="2" max="2" width="24" style="13" customWidth="1"/>
    <col min="3" max="3" width="16" style="13" customWidth="1"/>
    <col min="4" max="4" width="14" style="13" customWidth="1"/>
    <col min="5" max="5" width="20" style="13" customWidth="1"/>
    <col min="6" max="6" width="24" style="13" customWidth="1"/>
    <col min="7" max="7" width="22" style="13" customWidth="1"/>
    <col min="8" max="8" width="15" style="13" customWidth="1"/>
    <col min="9" max="9" width="14" style="13" customWidth="1"/>
    <col min="10" max="10" width="13" style="13" customWidth="1"/>
    <col min="11" max="11" width="12" style="13" customWidth="1"/>
    <col min="12" max="12" width="15" style="13" customWidth="1"/>
  </cols>
  <sheetData>
    <row r="1" spans="1:12" ht="27.75" customHeight="1" x14ac:dyDescent="0.3">
      <c r="A1" s="111" t="s">
        <v>260</v>
      </c>
      <c r="B1" s="111"/>
      <c r="C1" s="111"/>
      <c r="D1" s="111"/>
      <c r="E1" s="111"/>
      <c r="F1" s="111"/>
      <c r="G1" s="111"/>
      <c r="H1" s="111"/>
      <c r="I1" s="111"/>
      <c r="J1" s="11" t="s">
        <v>1</v>
      </c>
      <c r="K1" s="11"/>
      <c r="L1" s="11"/>
    </row>
    <row r="2" spans="1:12" ht="30" customHeight="1" x14ac:dyDescent="0.3">
      <c r="A2" s="95" t="s">
        <v>261</v>
      </c>
      <c r="B2" s="95"/>
      <c r="C2" s="95"/>
      <c r="D2" s="95"/>
      <c r="E2" s="95"/>
      <c r="F2" s="95"/>
      <c r="G2" s="95"/>
      <c r="H2" s="95"/>
      <c r="I2" s="95"/>
      <c r="J2" s="95"/>
      <c r="K2" s="95"/>
      <c r="L2" s="95"/>
    </row>
    <row r="3" spans="1:12" ht="27.75" customHeight="1" x14ac:dyDescent="0.3">
      <c r="A3" s="25" t="s">
        <v>262</v>
      </c>
      <c r="B3" s="25" t="s">
        <v>263</v>
      </c>
      <c r="C3" s="25" t="s">
        <v>264</v>
      </c>
      <c r="D3" s="25" t="s">
        <v>167</v>
      </c>
      <c r="E3" s="25" t="s">
        <v>168</v>
      </c>
      <c r="F3" s="25" t="s">
        <v>169</v>
      </c>
      <c r="G3" s="25" t="s">
        <v>265</v>
      </c>
      <c r="H3" s="25" t="s">
        <v>266</v>
      </c>
      <c r="I3" s="27" t="s">
        <v>267</v>
      </c>
      <c r="J3" s="27" t="s">
        <v>268</v>
      </c>
      <c r="K3" s="27" t="s">
        <v>269</v>
      </c>
      <c r="L3" s="25" t="s">
        <v>179</v>
      </c>
    </row>
    <row r="4" spans="1:12" ht="24" customHeight="1" x14ac:dyDescent="0.3">
      <c r="A4" s="29" t="s">
        <v>270</v>
      </c>
      <c r="B4" s="30" t="s">
        <v>235</v>
      </c>
      <c r="C4" s="30" t="s">
        <v>271</v>
      </c>
      <c r="D4" s="29" t="s">
        <v>272</v>
      </c>
      <c r="E4" s="30"/>
      <c r="F4" s="30" t="s">
        <v>183</v>
      </c>
      <c r="G4" s="30" t="s">
        <v>273</v>
      </c>
      <c r="H4" s="30" t="s">
        <v>274</v>
      </c>
      <c r="I4" s="31">
        <f>IF($B4="","",SUMIF('NHAP-HANG'!$F$4:$F$43,$B4,'NHAP-HANG'!$E$4:$E$43))</f>
        <v>420000</v>
      </c>
      <c r="J4" s="31">
        <f>IF($B4="","",SUMIFS('NHAP-HANG'!$E$4:$E$43,'NHAP-HANG'!$F$4:$F$43,$B4,'NHAP-HANG'!$G$4:$G$43,"Chưa trả"))</f>
        <v>0</v>
      </c>
      <c r="K4" s="32">
        <f>IF(OR($B4="",I4=0),"",SUMPRODUCT(MAX(('NHAP-HANG'!$F$4:$F$43=$B4)*'NHAP-HANG'!$A$4:$A$43)))</f>
        <v>46170</v>
      </c>
      <c r="L4" s="30" t="s">
        <v>275</v>
      </c>
    </row>
    <row r="5" spans="1:12" ht="24" customHeight="1" x14ac:dyDescent="0.3">
      <c r="A5" s="29" t="s">
        <v>276</v>
      </c>
      <c r="B5" s="30" t="s">
        <v>248</v>
      </c>
      <c r="C5" s="30" t="s">
        <v>277</v>
      </c>
      <c r="D5" s="29" t="s">
        <v>278</v>
      </c>
      <c r="E5" s="30"/>
      <c r="F5" s="30" t="s">
        <v>183</v>
      </c>
      <c r="G5" s="30" t="s">
        <v>279</v>
      </c>
      <c r="H5" s="30" t="s">
        <v>280</v>
      </c>
      <c r="I5" s="31">
        <f>IF($B5="","",SUMIF('NHAP-HANG'!$F$4:$F$43,$B5,'NHAP-HANG'!$E$4:$E$43))</f>
        <v>180000</v>
      </c>
      <c r="J5" s="31">
        <f>IF($B5="","",SUMIFS('NHAP-HANG'!$E$4:$E$43,'NHAP-HANG'!$F$4:$F$43,$B5,'NHAP-HANG'!$G$4:$G$43,"Chưa trả"))</f>
        <v>180000</v>
      </c>
      <c r="K5" s="32">
        <f>IF(OR($B5="",I5=0),"",SUMPRODUCT(MAX(('NHAP-HANG'!$F$4:$F$43=$B5)*'NHAP-HANG'!$A$4:$A$43)))</f>
        <v>46174</v>
      </c>
      <c r="L5" s="30"/>
    </row>
    <row r="6" spans="1:12" ht="24" customHeight="1" x14ac:dyDescent="0.3">
      <c r="A6" s="29" t="s">
        <v>281</v>
      </c>
      <c r="B6" s="30" t="s">
        <v>254</v>
      </c>
      <c r="C6" s="30" t="s">
        <v>282</v>
      </c>
      <c r="D6" s="29" t="s">
        <v>283</v>
      </c>
      <c r="E6" s="30"/>
      <c r="F6" s="30" t="s">
        <v>183</v>
      </c>
      <c r="G6" s="30" t="s">
        <v>284</v>
      </c>
      <c r="H6" s="30" t="s">
        <v>285</v>
      </c>
      <c r="I6" s="31">
        <f>IF($B6="","",SUMIF('NHAP-HANG'!$F$4:$F$43,$B6,'NHAP-HANG'!$E$4:$E$43))</f>
        <v>0</v>
      </c>
      <c r="J6" s="31">
        <f>IF($B6="","",SUMIFS('NHAP-HANG'!$E$4:$E$43,'NHAP-HANG'!$F$4:$F$43,$B6,'NHAP-HANG'!$G$4:$G$43,"Chưa trả"))</f>
        <v>0</v>
      </c>
      <c r="K6" s="32" t="str">
        <f>IF(OR($B6="",I6=0),"",SUMPRODUCT(MAX(('NHAP-HANG'!$F$4:$F$43=$B6)*'NHAP-HANG'!$A$4:$A$43)))</f>
        <v/>
      </c>
      <c r="L6" s="30"/>
    </row>
    <row r="7" spans="1:12" ht="24" customHeight="1" x14ac:dyDescent="0.3">
      <c r="A7" s="29"/>
      <c r="B7" s="30"/>
      <c r="C7" s="30"/>
      <c r="D7" s="29"/>
      <c r="E7" s="30"/>
      <c r="F7" s="30"/>
      <c r="G7" s="30"/>
      <c r="H7" s="30"/>
      <c r="I7" s="31" t="str">
        <f>IF($B7="","",SUMIF('NHAP-HANG'!$F$4:$F$43,$B7,'NHAP-HANG'!$E$4:$E$43))</f>
        <v/>
      </c>
      <c r="J7" s="31" t="str">
        <f>IF($B7="","",SUMIFS('NHAP-HANG'!$E$4:$E$43,'NHAP-HANG'!$F$4:$F$43,$B7,'NHAP-HANG'!$G$4:$G$43,"Chưa trả"))</f>
        <v/>
      </c>
      <c r="K7" s="32" t="str">
        <f>IF(OR($B7="",I7=0),"",SUMPRODUCT(MAX(('NHAP-HANG'!$F$4:$F$43=$B7)*'NHAP-HANG'!$A$4:$A$43)))</f>
        <v/>
      </c>
      <c r="L7" s="30"/>
    </row>
    <row r="8" spans="1:12" ht="24" customHeight="1" x14ac:dyDescent="0.3">
      <c r="A8" s="29"/>
      <c r="B8" s="30"/>
      <c r="C8" s="30"/>
      <c r="D8" s="29"/>
      <c r="E8" s="30"/>
      <c r="F8" s="30"/>
      <c r="G8" s="30"/>
      <c r="H8" s="30"/>
      <c r="I8" s="31" t="str">
        <f>IF($B8="","",SUMIF('NHAP-HANG'!$F$4:$F$43,$B8,'NHAP-HANG'!$E$4:$E$43))</f>
        <v/>
      </c>
      <c r="J8" s="31" t="str">
        <f>IF($B8="","",SUMIFS('NHAP-HANG'!$E$4:$E$43,'NHAP-HANG'!$F$4:$F$43,$B8,'NHAP-HANG'!$G$4:$G$43,"Chưa trả"))</f>
        <v/>
      </c>
      <c r="K8" s="32" t="str">
        <f>IF(OR($B8="",I8=0),"",SUMPRODUCT(MAX(('NHAP-HANG'!$F$4:$F$43=$B8)*'NHAP-HANG'!$A$4:$A$43)))</f>
        <v/>
      </c>
      <c r="L8" s="30"/>
    </row>
    <row r="9" spans="1:12" ht="24" customHeight="1" x14ac:dyDescent="0.3">
      <c r="A9" s="29"/>
      <c r="B9" s="30"/>
      <c r="C9" s="30"/>
      <c r="D9" s="29"/>
      <c r="E9" s="30"/>
      <c r="F9" s="30"/>
      <c r="G9" s="30"/>
      <c r="H9" s="30"/>
      <c r="I9" s="31" t="str">
        <f>IF($B9="","",SUMIF('NHAP-HANG'!$F$4:$F$43,$B9,'NHAP-HANG'!$E$4:$E$43))</f>
        <v/>
      </c>
      <c r="J9" s="31" t="str">
        <f>IF($B9="","",SUMIFS('NHAP-HANG'!$E$4:$E$43,'NHAP-HANG'!$F$4:$F$43,$B9,'NHAP-HANG'!$G$4:$G$43,"Chưa trả"))</f>
        <v/>
      </c>
      <c r="K9" s="32" t="str">
        <f>IF(OR($B9="",I9=0),"",SUMPRODUCT(MAX(('NHAP-HANG'!$F$4:$F$43=$B9)*'NHAP-HANG'!$A$4:$A$43)))</f>
        <v/>
      </c>
      <c r="L9" s="30"/>
    </row>
    <row r="10" spans="1:12" ht="24" customHeight="1" x14ac:dyDescent="0.3">
      <c r="A10" s="29"/>
      <c r="B10" s="30"/>
      <c r="C10" s="30"/>
      <c r="D10" s="29"/>
      <c r="E10" s="30"/>
      <c r="F10" s="30"/>
      <c r="G10" s="30"/>
      <c r="H10" s="30"/>
      <c r="I10" s="31" t="str">
        <f>IF($B10="","",SUMIF('NHAP-HANG'!$F$4:$F$43,$B10,'NHAP-HANG'!$E$4:$E$43))</f>
        <v/>
      </c>
      <c r="J10" s="31" t="str">
        <f>IF($B10="","",SUMIFS('NHAP-HANG'!$E$4:$E$43,'NHAP-HANG'!$F$4:$F$43,$B10,'NHAP-HANG'!$G$4:$G$43,"Chưa trả"))</f>
        <v/>
      </c>
      <c r="K10" s="32" t="str">
        <f>IF(OR($B10="",I10=0),"",SUMPRODUCT(MAX(('NHAP-HANG'!$F$4:$F$43=$B10)*'NHAP-HANG'!$A$4:$A$43)))</f>
        <v/>
      </c>
      <c r="L10" s="30"/>
    </row>
    <row r="11" spans="1:12" ht="24" customHeight="1" x14ac:dyDescent="0.3">
      <c r="A11" s="29"/>
      <c r="B11" s="30"/>
      <c r="C11" s="30"/>
      <c r="D11" s="29"/>
      <c r="E11" s="30"/>
      <c r="F11" s="30"/>
      <c r="G11" s="30"/>
      <c r="H11" s="30"/>
      <c r="I11" s="31" t="str">
        <f>IF($B11="","",SUMIF('NHAP-HANG'!$F$4:$F$43,$B11,'NHAP-HANG'!$E$4:$E$43))</f>
        <v/>
      </c>
      <c r="J11" s="31" t="str">
        <f>IF($B11="","",SUMIFS('NHAP-HANG'!$E$4:$E$43,'NHAP-HANG'!$F$4:$F$43,$B11,'NHAP-HANG'!$G$4:$G$43,"Chưa trả"))</f>
        <v/>
      </c>
      <c r="K11" s="32" t="str">
        <f>IF(OR($B11="",I11=0),"",SUMPRODUCT(MAX(('NHAP-HANG'!$F$4:$F$43=$B11)*'NHAP-HANG'!$A$4:$A$43)))</f>
        <v/>
      </c>
      <c r="L11" s="30"/>
    </row>
    <row r="12" spans="1:12" ht="24" customHeight="1" x14ac:dyDescent="0.3">
      <c r="A12" s="29"/>
      <c r="B12" s="30"/>
      <c r="C12" s="30"/>
      <c r="D12" s="29"/>
      <c r="E12" s="30"/>
      <c r="F12" s="30"/>
      <c r="G12" s="30"/>
      <c r="H12" s="30"/>
      <c r="I12" s="31" t="str">
        <f>IF($B12="","",SUMIF('NHAP-HANG'!$F$4:$F$43,$B12,'NHAP-HANG'!$E$4:$E$43))</f>
        <v/>
      </c>
      <c r="J12" s="31" t="str">
        <f>IF($B12="","",SUMIFS('NHAP-HANG'!$E$4:$E$43,'NHAP-HANG'!$F$4:$F$43,$B12,'NHAP-HANG'!$G$4:$G$43,"Chưa trả"))</f>
        <v/>
      </c>
      <c r="K12" s="32" t="str">
        <f>IF(OR($B12="",I12=0),"",SUMPRODUCT(MAX(('NHAP-HANG'!$F$4:$F$43=$B12)*'NHAP-HANG'!$A$4:$A$43)))</f>
        <v/>
      </c>
      <c r="L12" s="30"/>
    </row>
    <row r="13" spans="1:12" ht="24" customHeight="1" x14ac:dyDescent="0.3">
      <c r="A13" s="29"/>
      <c r="B13" s="30"/>
      <c r="C13" s="30"/>
      <c r="D13" s="29"/>
      <c r="E13" s="30"/>
      <c r="F13" s="30"/>
      <c r="G13" s="30"/>
      <c r="H13" s="30"/>
      <c r="I13" s="31" t="str">
        <f>IF($B13="","",SUMIF('NHAP-HANG'!$F$4:$F$43,$B13,'NHAP-HANG'!$E$4:$E$43))</f>
        <v/>
      </c>
      <c r="J13" s="31" t="str">
        <f>IF($B13="","",SUMIFS('NHAP-HANG'!$E$4:$E$43,'NHAP-HANG'!$F$4:$F$43,$B13,'NHAP-HANG'!$G$4:$G$43,"Chưa trả"))</f>
        <v/>
      </c>
      <c r="K13" s="32" t="str">
        <f>IF(OR($B13="",I13=0),"",SUMPRODUCT(MAX(('NHAP-HANG'!$F$4:$F$43=$B13)*'NHAP-HANG'!$A$4:$A$43)))</f>
        <v/>
      </c>
      <c r="L13" s="30"/>
    </row>
    <row r="14" spans="1:12" ht="24" customHeight="1" x14ac:dyDescent="0.3">
      <c r="A14" s="29"/>
      <c r="B14" s="30"/>
      <c r="C14" s="30"/>
      <c r="D14" s="29"/>
      <c r="E14" s="30"/>
      <c r="F14" s="30"/>
      <c r="G14" s="30"/>
      <c r="H14" s="30"/>
      <c r="I14" s="31" t="str">
        <f>IF($B14="","",SUMIF('NHAP-HANG'!$F$4:$F$43,$B14,'NHAP-HANG'!$E$4:$E$43))</f>
        <v/>
      </c>
      <c r="J14" s="31" t="str">
        <f>IF($B14="","",SUMIFS('NHAP-HANG'!$E$4:$E$43,'NHAP-HANG'!$F$4:$F$43,$B14,'NHAP-HANG'!$G$4:$G$43,"Chưa trả"))</f>
        <v/>
      </c>
      <c r="K14" s="32" t="str">
        <f>IF(OR($B14="",I14=0),"",SUMPRODUCT(MAX(('NHAP-HANG'!$F$4:$F$43=$B14)*'NHAP-HANG'!$A$4:$A$43)))</f>
        <v/>
      </c>
      <c r="L14" s="30"/>
    </row>
    <row r="15" spans="1:12" ht="24" customHeight="1" x14ac:dyDescent="0.3">
      <c r="A15" s="29"/>
      <c r="B15" s="30"/>
      <c r="C15" s="30"/>
      <c r="D15" s="29"/>
      <c r="E15" s="30"/>
      <c r="F15" s="30"/>
      <c r="G15" s="30"/>
      <c r="H15" s="30"/>
      <c r="I15" s="31" t="str">
        <f>IF($B15="","",SUMIF('NHAP-HANG'!$F$4:$F$43,$B15,'NHAP-HANG'!$E$4:$E$43))</f>
        <v/>
      </c>
      <c r="J15" s="31" t="str">
        <f>IF($B15="","",SUMIFS('NHAP-HANG'!$E$4:$E$43,'NHAP-HANG'!$F$4:$F$43,$B15,'NHAP-HANG'!$G$4:$G$43,"Chưa trả"))</f>
        <v/>
      </c>
      <c r="K15" s="32" t="str">
        <f>IF(OR($B15="",I15=0),"",SUMPRODUCT(MAX(('NHAP-HANG'!$F$4:$F$43=$B15)*'NHAP-HANG'!$A$4:$A$43)))</f>
        <v/>
      </c>
      <c r="L15" s="30"/>
    </row>
    <row r="16" spans="1:12" ht="24" customHeight="1" x14ac:dyDescent="0.3">
      <c r="A16" s="29"/>
      <c r="B16" s="30"/>
      <c r="C16" s="30"/>
      <c r="D16" s="29"/>
      <c r="E16" s="30"/>
      <c r="F16" s="30"/>
      <c r="G16" s="30"/>
      <c r="H16" s="30"/>
      <c r="I16" s="31" t="str">
        <f>IF($B16="","",SUMIF('NHAP-HANG'!$F$4:$F$43,$B16,'NHAP-HANG'!$E$4:$E$43))</f>
        <v/>
      </c>
      <c r="J16" s="31" t="str">
        <f>IF($B16="","",SUMIFS('NHAP-HANG'!$E$4:$E$43,'NHAP-HANG'!$F$4:$F$43,$B16,'NHAP-HANG'!$G$4:$G$43,"Chưa trả"))</f>
        <v/>
      </c>
      <c r="K16" s="32" t="str">
        <f>IF(OR($B16="",I16=0),"",SUMPRODUCT(MAX(('NHAP-HANG'!$F$4:$F$43=$B16)*'NHAP-HANG'!$A$4:$A$43)))</f>
        <v/>
      </c>
      <c r="L16" s="30"/>
    </row>
    <row r="17" spans="1:12" ht="24" customHeight="1" x14ac:dyDescent="0.3">
      <c r="A17" s="29"/>
      <c r="B17" s="30"/>
      <c r="C17" s="30"/>
      <c r="D17" s="29"/>
      <c r="E17" s="30"/>
      <c r="F17" s="30"/>
      <c r="G17" s="30"/>
      <c r="H17" s="30"/>
      <c r="I17" s="31" t="str">
        <f>IF($B17="","",SUMIF('NHAP-HANG'!$F$4:$F$43,$B17,'NHAP-HANG'!$E$4:$E$43))</f>
        <v/>
      </c>
      <c r="J17" s="31" t="str">
        <f>IF($B17="","",SUMIFS('NHAP-HANG'!$E$4:$E$43,'NHAP-HANG'!$F$4:$F$43,$B17,'NHAP-HANG'!$G$4:$G$43,"Chưa trả"))</f>
        <v/>
      </c>
      <c r="K17" s="32" t="str">
        <f>IF(OR($B17="",I17=0),"",SUMPRODUCT(MAX(('NHAP-HANG'!$F$4:$F$43=$B17)*'NHAP-HANG'!$A$4:$A$43)))</f>
        <v/>
      </c>
      <c r="L17" s="30"/>
    </row>
    <row r="18" spans="1:12" ht="24" customHeight="1" x14ac:dyDescent="0.3">
      <c r="A18" s="29"/>
      <c r="B18" s="30"/>
      <c r="C18" s="30"/>
      <c r="D18" s="29"/>
      <c r="E18" s="30"/>
      <c r="F18" s="30"/>
      <c r="G18" s="30"/>
      <c r="H18" s="30"/>
      <c r="I18" s="31" t="str">
        <f>IF($B18="","",SUMIF('NHAP-HANG'!$F$4:$F$43,$B18,'NHAP-HANG'!$E$4:$E$43))</f>
        <v/>
      </c>
      <c r="J18" s="31" t="str">
        <f>IF($B18="","",SUMIFS('NHAP-HANG'!$E$4:$E$43,'NHAP-HANG'!$F$4:$F$43,$B18,'NHAP-HANG'!$G$4:$G$43,"Chưa trả"))</f>
        <v/>
      </c>
      <c r="K18" s="32" t="str">
        <f>IF(OR($B18="",I18=0),"",SUMPRODUCT(MAX(('NHAP-HANG'!$F$4:$F$43=$B18)*'NHAP-HANG'!$A$4:$A$43)))</f>
        <v/>
      </c>
      <c r="L18" s="30"/>
    </row>
    <row r="19" spans="1:12" ht="24" customHeight="1" x14ac:dyDescent="0.3">
      <c r="A19" s="29"/>
      <c r="B19" s="30"/>
      <c r="C19" s="30"/>
      <c r="D19" s="29"/>
      <c r="E19" s="30"/>
      <c r="F19" s="30"/>
      <c r="G19" s="30"/>
      <c r="H19" s="30"/>
      <c r="I19" s="31" t="str">
        <f>IF($B19="","",SUMIF('NHAP-HANG'!$F$4:$F$43,$B19,'NHAP-HANG'!$E$4:$E$43))</f>
        <v/>
      </c>
      <c r="J19" s="31" t="str">
        <f>IF($B19="","",SUMIFS('NHAP-HANG'!$E$4:$E$43,'NHAP-HANG'!$F$4:$F$43,$B19,'NHAP-HANG'!$G$4:$G$43,"Chưa trả"))</f>
        <v/>
      </c>
      <c r="K19" s="32" t="str">
        <f>IF(OR($B19="",I19=0),"",SUMPRODUCT(MAX(('NHAP-HANG'!$F$4:$F$43=$B19)*'NHAP-HANG'!$A$4:$A$43)))</f>
        <v/>
      </c>
      <c r="L19" s="30"/>
    </row>
    <row r="20" spans="1:12" ht="24" customHeight="1" x14ac:dyDescent="0.3">
      <c r="A20" s="29"/>
      <c r="B20" s="30"/>
      <c r="C20" s="30"/>
      <c r="D20" s="29"/>
      <c r="E20" s="30"/>
      <c r="F20" s="30"/>
      <c r="G20" s="30"/>
      <c r="H20" s="30"/>
      <c r="I20" s="31" t="str">
        <f>IF($B20="","",SUMIF('NHAP-HANG'!$F$4:$F$43,$B20,'NHAP-HANG'!$E$4:$E$43))</f>
        <v/>
      </c>
      <c r="J20" s="31" t="str">
        <f>IF($B20="","",SUMIFS('NHAP-HANG'!$E$4:$E$43,'NHAP-HANG'!$F$4:$F$43,$B20,'NHAP-HANG'!$G$4:$G$43,"Chưa trả"))</f>
        <v/>
      </c>
      <c r="K20" s="32" t="str">
        <f>IF(OR($B20="",I20=0),"",SUMPRODUCT(MAX(('NHAP-HANG'!$F$4:$F$43=$B20)*'NHAP-HANG'!$A$4:$A$43)))</f>
        <v/>
      </c>
      <c r="L20" s="30"/>
    </row>
    <row r="21" spans="1:12" ht="24" customHeight="1" x14ac:dyDescent="0.3">
      <c r="A21" s="29"/>
      <c r="B21" s="30"/>
      <c r="C21" s="30"/>
      <c r="D21" s="29"/>
      <c r="E21" s="30"/>
      <c r="F21" s="30"/>
      <c r="G21" s="30"/>
      <c r="H21" s="30"/>
      <c r="I21" s="31" t="str">
        <f>IF($B21="","",SUMIF('NHAP-HANG'!$F$4:$F$43,$B21,'NHAP-HANG'!$E$4:$E$43))</f>
        <v/>
      </c>
      <c r="J21" s="31" t="str">
        <f>IF($B21="","",SUMIFS('NHAP-HANG'!$E$4:$E$43,'NHAP-HANG'!$F$4:$F$43,$B21,'NHAP-HANG'!$G$4:$G$43,"Chưa trả"))</f>
        <v/>
      </c>
      <c r="K21" s="32" t="str">
        <f>IF(OR($B21="",I21=0),"",SUMPRODUCT(MAX(('NHAP-HANG'!$F$4:$F$43=$B21)*'NHAP-HANG'!$A$4:$A$43)))</f>
        <v/>
      </c>
      <c r="L21" s="30"/>
    </row>
    <row r="22" spans="1:12" ht="24" customHeight="1" x14ac:dyDescent="0.3">
      <c r="A22" s="29"/>
      <c r="B22" s="30"/>
      <c r="C22" s="30"/>
      <c r="D22" s="29"/>
      <c r="E22" s="30"/>
      <c r="F22" s="30"/>
      <c r="G22" s="30"/>
      <c r="H22" s="30"/>
      <c r="I22" s="31" t="str">
        <f>IF($B22="","",SUMIF('NHAP-HANG'!$F$4:$F$43,$B22,'NHAP-HANG'!$E$4:$E$43))</f>
        <v/>
      </c>
      <c r="J22" s="31" t="str">
        <f>IF($B22="","",SUMIFS('NHAP-HANG'!$E$4:$E$43,'NHAP-HANG'!$F$4:$F$43,$B22,'NHAP-HANG'!$G$4:$G$43,"Chưa trả"))</f>
        <v/>
      </c>
      <c r="K22" s="32" t="str">
        <f>IF(OR($B22="",I22=0),"",SUMPRODUCT(MAX(('NHAP-HANG'!$F$4:$F$43=$B22)*'NHAP-HANG'!$A$4:$A$43)))</f>
        <v/>
      </c>
      <c r="L22" s="30"/>
    </row>
    <row r="23" spans="1:12" ht="24" customHeight="1" x14ac:dyDescent="0.3">
      <c r="A23" s="29"/>
      <c r="B23" s="30"/>
      <c r="C23" s="30"/>
      <c r="D23" s="29"/>
      <c r="E23" s="30"/>
      <c r="F23" s="30"/>
      <c r="G23" s="30"/>
      <c r="H23" s="30"/>
      <c r="I23" s="31" t="str">
        <f>IF($B23="","",SUMIF('NHAP-HANG'!$F$4:$F$43,$B23,'NHAP-HANG'!$E$4:$E$43))</f>
        <v/>
      </c>
      <c r="J23" s="31" t="str">
        <f>IF($B23="","",SUMIFS('NHAP-HANG'!$E$4:$E$43,'NHAP-HANG'!$F$4:$F$43,$B23,'NHAP-HANG'!$G$4:$G$43,"Chưa trả"))</f>
        <v/>
      </c>
      <c r="K23" s="32" t="str">
        <f>IF(OR($B23="",I23=0),"",SUMPRODUCT(MAX(('NHAP-HANG'!$F$4:$F$43=$B23)*'NHAP-HANG'!$A$4:$A$43)))</f>
        <v/>
      </c>
      <c r="L23" s="30"/>
    </row>
  </sheetData>
  <sheetProtection sheet="1" formatCells="0" formatColumns="0" formatRows="0" insertColumns="0" insertRows="0" deleteColumns="0" deleteRows="0" sort="0" autoFilter="0"/>
  <autoFilter ref="A3:L23" xr:uid="{00000000-0009-0000-0000-000005000000}"/>
  <mergeCells count="3">
    <mergeCell ref="A1:I1"/>
    <mergeCell ref="J1:L1"/>
    <mergeCell ref="A2:L2"/>
  </mergeCells>
  <conditionalFormatting sqref="J4:J23">
    <cfRule type="expression" dxfId="12" priority="2">
      <formula>AND(ISNUMBER($J4),$J4&gt;0)</formula>
    </cfRule>
  </conditionalFormatting>
  <conditionalFormatting sqref="B4:B23">
    <cfRule type="expression" dxfId="11" priority="3">
      <formula>AND($B4&lt;&gt;"",COUNTIF($B$4:$B$23,$B4)&gt;1)</formula>
    </cfRule>
  </conditionalFormatting>
  <hyperlinks>
    <hyperlink ref="J1" location="'MUC-LUC'!A1" display="« MỤC LỤC" xr:uid="{00000000-0004-0000-0500-000000000000}"/>
  </hyperlinks>
  <pageMargins left="0.75" right="0.75" top="1" bottom="1" header="0.511811023622047" footer="0.511811023622047"/>
  <pageSetup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50"/>
  <sheetViews>
    <sheetView showGridLines="0" zoomScaleNormal="100" workbookViewId="0">
      <pane xSplit="3" ySplit="4" topLeftCell="D5" activePane="bottomRight" state="frozen"/>
      <selection pane="topRight" activeCell="E1" sqref="E1"/>
      <selection pane="bottomLeft" activeCell="A5" sqref="A5"/>
      <selection pane="bottomRight" activeCell="E8" sqref="E8"/>
    </sheetView>
  </sheetViews>
  <sheetFormatPr defaultColWidth="8.6640625" defaultRowHeight="14.4" x14ac:dyDescent="0.3"/>
  <cols>
    <col min="1" max="1" width="10" style="13" customWidth="1"/>
    <col min="2" max="2" width="11" style="13" customWidth="1"/>
    <col min="3" max="3" width="19.33203125" style="13" bestFit="1" customWidth="1"/>
    <col min="4" max="4" width="14" style="13" customWidth="1"/>
    <col min="5" max="5" width="30" style="13" customWidth="1"/>
    <col min="6" max="6" width="6" style="13" customWidth="1"/>
    <col min="7" max="7" width="14" style="13" customWidth="1"/>
    <col min="8" max="8" width="13" style="13" customWidth="1"/>
    <col min="9" max="10" width="11" style="13" customWidth="1"/>
    <col min="11" max="11" width="10" style="13" customWidth="1"/>
    <col min="12" max="12" width="13" style="13" customWidth="1"/>
    <col min="13" max="13" width="14" style="13" customWidth="1"/>
    <col min="14" max="14" width="8" style="13" customWidth="1"/>
    <col min="15" max="15" width="12" style="13" customWidth="1"/>
    <col min="16" max="16" width="20" style="13" customWidth="1"/>
    <col min="18" max="18" width="13" style="13" customWidth="1"/>
  </cols>
  <sheetData>
    <row r="1" spans="1:19" ht="30" customHeight="1" x14ac:dyDescent="0.3">
      <c r="A1" s="12" t="s">
        <v>286</v>
      </c>
      <c r="B1" s="12"/>
      <c r="C1" s="12"/>
      <c r="D1" s="12"/>
      <c r="E1" s="12"/>
      <c r="F1" s="12"/>
      <c r="G1" s="12"/>
      <c r="H1" s="12"/>
      <c r="I1" s="12"/>
      <c r="J1" s="12"/>
      <c r="K1" s="12"/>
      <c r="L1" s="12"/>
      <c r="M1" s="12"/>
      <c r="N1" s="12"/>
      <c r="O1" s="12"/>
      <c r="P1" s="12"/>
      <c r="Q1" s="14"/>
      <c r="R1" s="11" t="s">
        <v>1</v>
      </c>
      <c r="S1" s="11"/>
    </row>
    <row r="2" spans="1:19" ht="21.75" customHeight="1" x14ac:dyDescent="0.3">
      <c r="A2" s="95" t="s">
        <v>287</v>
      </c>
      <c r="B2" s="95"/>
      <c r="C2" s="95"/>
      <c r="D2" s="95"/>
      <c r="E2" s="95"/>
      <c r="F2" s="95"/>
      <c r="G2" s="95"/>
      <c r="H2" s="95"/>
      <c r="I2" s="95"/>
      <c r="J2" s="95"/>
      <c r="K2" s="95"/>
      <c r="L2" s="95"/>
      <c r="M2" s="95"/>
      <c r="N2" s="95"/>
      <c r="O2" s="95"/>
      <c r="P2" s="95"/>
      <c r="Q2" s="14"/>
      <c r="R2" s="14"/>
      <c r="S2" s="14"/>
    </row>
    <row r="3" spans="1:19" ht="25.5" customHeight="1" x14ac:dyDescent="0.3">
      <c r="A3" s="115" t="str">
        <f>"TỔNG CỘNG   ("&amp;COUNT(G5:G1000)&amp;" đơn)"</f>
        <v>TỔNG CỘNG   (4 đơn)</v>
      </c>
      <c r="B3" s="115"/>
      <c r="C3" s="115"/>
      <c r="D3" s="115"/>
      <c r="E3" s="115"/>
      <c r="F3" s="115"/>
      <c r="G3" s="46">
        <f>SUM(G5:G1000)</f>
        <v>3720000</v>
      </c>
      <c r="H3" s="46">
        <f>SUM(H5:H1000)</f>
        <v>3100000</v>
      </c>
      <c r="I3" s="46">
        <f>SUM(I5:I1000)</f>
        <v>0</v>
      </c>
      <c r="J3" s="46">
        <f>SUM(J5:J1000)</f>
        <v>0</v>
      </c>
      <c r="K3" s="46">
        <f>SUM(K5:K1000)</f>
        <v>0</v>
      </c>
      <c r="L3" s="46">
        <f>H3+I3+J3+K3</f>
        <v>3100000</v>
      </c>
      <c r="M3" s="46">
        <f>G3-L3</f>
        <v>620000</v>
      </c>
      <c r="N3" s="47">
        <f>IFERROR(M3/G3,"")</f>
        <v>0.16666666666666666</v>
      </c>
      <c r="O3" s="48"/>
      <c r="P3" s="48"/>
      <c r="Q3" s="14"/>
      <c r="R3" s="14"/>
      <c r="S3" s="14"/>
    </row>
    <row r="4" spans="1:19" ht="33.75" customHeight="1" x14ac:dyDescent="0.3">
      <c r="A4" s="25" t="s">
        <v>288</v>
      </c>
      <c r="B4" s="25" t="s">
        <v>139</v>
      </c>
      <c r="C4" s="25" t="s">
        <v>289</v>
      </c>
      <c r="D4" s="25" t="s">
        <v>152</v>
      </c>
      <c r="E4" s="25" t="s">
        <v>290</v>
      </c>
      <c r="F4" s="25" t="s">
        <v>291</v>
      </c>
      <c r="G4" s="25" t="s">
        <v>292</v>
      </c>
      <c r="H4" s="25" t="s">
        <v>293</v>
      </c>
      <c r="I4" s="25" t="s">
        <v>294</v>
      </c>
      <c r="J4" s="25" t="s">
        <v>295</v>
      </c>
      <c r="K4" s="25" t="s">
        <v>296</v>
      </c>
      <c r="L4" s="25" t="s">
        <v>297</v>
      </c>
      <c r="M4" s="25" t="s">
        <v>298</v>
      </c>
      <c r="N4" s="25" t="s">
        <v>299</v>
      </c>
      <c r="O4" s="25" t="s">
        <v>300</v>
      </c>
      <c r="P4" s="25" t="s">
        <v>179</v>
      </c>
      <c r="Q4" s="14"/>
      <c r="R4" s="14"/>
      <c r="S4" s="14"/>
    </row>
    <row r="5" spans="1:19" ht="27" customHeight="1" x14ac:dyDescent="0.3">
      <c r="A5" s="29" t="s">
        <v>301</v>
      </c>
      <c r="B5" s="49">
        <v>46175</v>
      </c>
      <c r="C5" s="30" t="s">
        <v>181</v>
      </c>
      <c r="D5" s="29" t="s">
        <v>158</v>
      </c>
      <c r="E5" s="34" t="s">
        <v>229</v>
      </c>
      <c r="F5" s="29">
        <v>5</v>
      </c>
      <c r="G5" s="50">
        <v>300000</v>
      </c>
      <c r="H5" s="50">
        <v>210000</v>
      </c>
      <c r="I5" s="50">
        <v>0</v>
      </c>
      <c r="J5" s="50">
        <v>0</v>
      </c>
      <c r="K5" s="50">
        <v>0</v>
      </c>
      <c r="L5" s="51">
        <f t="shared" ref="L5:L44" si="0">IF(G5="","",SUM(H5:K5))</f>
        <v>210000</v>
      </c>
      <c r="M5" s="51">
        <f t="shared" ref="M5:M44" si="1">IF(G5="","",G5-SUM(H5:K5))</f>
        <v>90000</v>
      </c>
      <c r="N5" s="52">
        <f t="shared" ref="N5:N44" si="2">IF(G5="","",IFERROR((G5-SUM(H5:K5))/G5,""))</f>
        <v>0.3</v>
      </c>
      <c r="O5" s="29" t="s">
        <v>302</v>
      </c>
      <c r="P5" s="30" t="s">
        <v>303</v>
      </c>
      <c r="Q5" s="14"/>
      <c r="R5" s="14"/>
      <c r="S5" s="14"/>
    </row>
    <row r="6" spans="1:19" ht="21.75" customHeight="1" x14ac:dyDescent="0.3">
      <c r="A6" s="29" t="s">
        <v>304</v>
      </c>
      <c r="B6" s="49">
        <v>46177</v>
      </c>
      <c r="C6" s="30" t="s">
        <v>189</v>
      </c>
      <c r="D6" s="29" t="s">
        <v>157</v>
      </c>
      <c r="E6" s="30" t="s">
        <v>243</v>
      </c>
      <c r="F6" s="29">
        <v>10</v>
      </c>
      <c r="G6" s="50">
        <v>150000</v>
      </c>
      <c r="H6" s="50">
        <v>90000</v>
      </c>
      <c r="I6" s="50">
        <v>0</v>
      </c>
      <c r="J6" s="50">
        <v>0</v>
      </c>
      <c r="K6" s="50">
        <v>0</v>
      </c>
      <c r="L6" s="51">
        <f t="shared" si="0"/>
        <v>90000</v>
      </c>
      <c r="M6" s="51">
        <f t="shared" si="1"/>
        <v>60000</v>
      </c>
      <c r="N6" s="52">
        <f t="shared" si="2"/>
        <v>0.4</v>
      </c>
      <c r="O6" s="29" t="s">
        <v>302</v>
      </c>
      <c r="P6" s="30"/>
      <c r="Q6" s="14"/>
      <c r="R6" s="14"/>
      <c r="S6" s="14"/>
    </row>
    <row r="7" spans="1:19" ht="21.75" customHeight="1" x14ac:dyDescent="0.3">
      <c r="A7" s="29" t="s">
        <v>305</v>
      </c>
      <c r="B7" s="49">
        <v>46178</v>
      </c>
      <c r="C7" s="30" t="s">
        <v>189</v>
      </c>
      <c r="D7" s="29" t="s">
        <v>157</v>
      </c>
      <c r="E7" s="30" t="s">
        <v>192</v>
      </c>
      <c r="F7" s="29">
        <v>1</v>
      </c>
      <c r="G7" s="50">
        <v>1410000</v>
      </c>
      <c r="H7" s="50">
        <v>1250000</v>
      </c>
      <c r="I7" s="50">
        <v>0</v>
      </c>
      <c r="J7" s="50">
        <v>0</v>
      </c>
      <c r="K7" s="50">
        <v>0</v>
      </c>
      <c r="L7" s="51">
        <f t="shared" si="0"/>
        <v>1250000</v>
      </c>
      <c r="M7" s="51">
        <f t="shared" si="1"/>
        <v>160000</v>
      </c>
      <c r="N7" s="52">
        <f t="shared" si="2"/>
        <v>0.11347517730496454</v>
      </c>
      <c r="O7" s="29" t="s">
        <v>306</v>
      </c>
      <c r="P7" s="30" t="s">
        <v>307</v>
      </c>
      <c r="Q7" s="14"/>
      <c r="R7" s="14"/>
      <c r="S7" s="14"/>
    </row>
    <row r="8" spans="1:19" ht="21.75" customHeight="1" x14ac:dyDescent="0.3">
      <c r="A8" s="29"/>
      <c r="B8" s="49"/>
      <c r="C8" s="30"/>
      <c r="D8" s="29"/>
      <c r="E8" s="30"/>
      <c r="F8" s="29">
        <v>1</v>
      </c>
      <c r="G8" s="50"/>
      <c r="H8" s="50"/>
      <c r="I8" s="50"/>
      <c r="J8" s="50"/>
      <c r="K8" s="50"/>
      <c r="L8" s="51" t="str">
        <f t="shared" si="0"/>
        <v/>
      </c>
      <c r="M8" s="51" t="str">
        <f t="shared" si="1"/>
        <v/>
      </c>
      <c r="N8" s="52" t="str">
        <f t="shared" si="2"/>
        <v/>
      </c>
      <c r="O8" s="29"/>
      <c r="P8" s="30"/>
      <c r="Q8" s="14"/>
      <c r="R8" s="14"/>
      <c r="S8" s="14"/>
    </row>
    <row r="9" spans="1:19" ht="21.75" customHeight="1" x14ac:dyDescent="0.3">
      <c r="A9" s="29"/>
      <c r="B9" s="49"/>
      <c r="C9" s="30"/>
      <c r="D9" s="29"/>
      <c r="E9" s="30"/>
      <c r="F9" s="29"/>
      <c r="G9" s="50"/>
      <c r="H9" s="50"/>
      <c r="I9" s="50"/>
      <c r="J9" s="50"/>
      <c r="K9" s="50"/>
      <c r="L9" s="51" t="str">
        <f t="shared" si="0"/>
        <v/>
      </c>
      <c r="M9" s="51" t="str">
        <f t="shared" si="1"/>
        <v/>
      </c>
      <c r="N9" s="52" t="str">
        <f t="shared" si="2"/>
        <v/>
      </c>
      <c r="O9" s="29"/>
      <c r="P9" s="30"/>
      <c r="Q9" s="14"/>
      <c r="R9" s="14"/>
      <c r="S9" s="14"/>
    </row>
    <row r="10" spans="1:19" ht="21.75" customHeight="1" x14ac:dyDescent="0.3">
      <c r="A10" s="29"/>
      <c r="B10" s="49"/>
      <c r="C10" s="30"/>
      <c r="D10" s="29"/>
      <c r="E10" s="30"/>
      <c r="F10" s="29"/>
      <c r="G10" s="50"/>
      <c r="H10" s="50"/>
      <c r="I10" s="50"/>
      <c r="J10" s="50"/>
      <c r="K10" s="50"/>
      <c r="L10" s="51" t="str">
        <f t="shared" si="0"/>
        <v/>
      </c>
      <c r="M10" s="51" t="str">
        <f t="shared" si="1"/>
        <v/>
      </c>
      <c r="N10" s="52" t="str">
        <f t="shared" si="2"/>
        <v/>
      </c>
      <c r="O10" s="29"/>
      <c r="P10" s="30"/>
      <c r="Q10" s="14"/>
      <c r="R10" s="14"/>
      <c r="S10" s="14"/>
    </row>
    <row r="11" spans="1:19" ht="21.75" customHeight="1" x14ac:dyDescent="0.3">
      <c r="A11" s="29"/>
      <c r="B11" s="49"/>
      <c r="C11" s="30"/>
      <c r="D11" s="29"/>
      <c r="E11" s="30"/>
      <c r="F11" s="29"/>
      <c r="G11" s="50"/>
      <c r="H11" s="50"/>
      <c r="I11" s="50"/>
      <c r="J11" s="50"/>
      <c r="K11" s="50"/>
      <c r="L11" s="51" t="str">
        <f t="shared" si="0"/>
        <v/>
      </c>
      <c r="M11" s="51" t="str">
        <f t="shared" si="1"/>
        <v/>
      </c>
      <c r="N11" s="52" t="str">
        <f t="shared" si="2"/>
        <v/>
      </c>
      <c r="O11" s="29"/>
      <c r="P11" s="30"/>
      <c r="Q11" s="14"/>
      <c r="R11" s="14"/>
      <c r="S11" s="14"/>
    </row>
    <row r="12" spans="1:19" ht="21.75" customHeight="1" x14ac:dyDescent="0.3">
      <c r="A12" s="29"/>
      <c r="B12" s="49"/>
      <c r="C12" s="30"/>
      <c r="D12" s="29"/>
      <c r="E12" s="30"/>
      <c r="F12" s="29"/>
      <c r="G12" s="50"/>
      <c r="H12" s="50"/>
      <c r="I12" s="50"/>
      <c r="J12" s="50"/>
      <c r="K12" s="50"/>
      <c r="L12" s="51" t="str">
        <f t="shared" si="0"/>
        <v/>
      </c>
      <c r="M12" s="51" t="str">
        <f t="shared" si="1"/>
        <v/>
      </c>
      <c r="N12" s="52" t="str">
        <f t="shared" si="2"/>
        <v/>
      </c>
      <c r="O12" s="29"/>
      <c r="P12" s="30"/>
      <c r="Q12" s="14"/>
      <c r="R12" s="14"/>
      <c r="S12" s="14"/>
    </row>
    <row r="13" spans="1:19" ht="21.75" customHeight="1" x14ac:dyDescent="0.3">
      <c r="A13" s="29"/>
      <c r="B13" s="49"/>
      <c r="C13" s="30"/>
      <c r="D13" s="29"/>
      <c r="E13" s="30"/>
      <c r="F13" s="29"/>
      <c r="G13" s="50"/>
      <c r="H13" s="50"/>
      <c r="I13" s="50"/>
      <c r="J13" s="50"/>
      <c r="K13" s="50"/>
      <c r="L13" s="51" t="str">
        <f t="shared" si="0"/>
        <v/>
      </c>
      <c r="M13" s="51" t="str">
        <f t="shared" si="1"/>
        <v/>
      </c>
      <c r="N13" s="52" t="str">
        <f t="shared" si="2"/>
        <v/>
      </c>
      <c r="O13" s="29"/>
      <c r="P13" s="30"/>
      <c r="Q13" s="14"/>
      <c r="R13" s="14"/>
      <c r="S13" s="14"/>
    </row>
    <row r="14" spans="1:19" ht="21.75" customHeight="1" x14ac:dyDescent="0.3">
      <c r="A14" s="29"/>
      <c r="B14" s="49"/>
      <c r="C14" s="30"/>
      <c r="D14" s="29"/>
      <c r="E14" s="30"/>
      <c r="F14" s="29"/>
      <c r="G14" s="50"/>
      <c r="H14" s="50"/>
      <c r="I14" s="50"/>
      <c r="J14" s="50"/>
      <c r="K14" s="50"/>
      <c r="L14" s="51" t="str">
        <f t="shared" si="0"/>
        <v/>
      </c>
      <c r="M14" s="51" t="str">
        <f t="shared" si="1"/>
        <v/>
      </c>
      <c r="N14" s="52" t="str">
        <f t="shared" si="2"/>
        <v/>
      </c>
      <c r="O14" s="29"/>
      <c r="P14" s="30"/>
      <c r="Q14" s="14"/>
      <c r="R14" s="14"/>
      <c r="S14" s="14"/>
    </row>
    <row r="15" spans="1:19" ht="21.75" customHeight="1" x14ac:dyDescent="0.3">
      <c r="A15" s="29"/>
      <c r="B15" s="49"/>
      <c r="C15" s="30"/>
      <c r="D15" s="29"/>
      <c r="E15" s="30"/>
      <c r="F15" s="29"/>
      <c r="G15" s="50"/>
      <c r="H15" s="50"/>
      <c r="I15" s="50"/>
      <c r="J15" s="50"/>
      <c r="K15" s="50"/>
      <c r="L15" s="51" t="str">
        <f t="shared" si="0"/>
        <v/>
      </c>
      <c r="M15" s="51" t="str">
        <f t="shared" si="1"/>
        <v/>
      </c>
      <c r="N15" s="52" t="str">
        <f t="shared" si="2"/>
        <v/>
      </c>
      <c r="O15" s="29"/>
      <c r="P15" s="30"/>
      <c r="Q15" s="14"/>
      <c r="R15" s="14"/>
      <c r="S15" s="14"/>
    </row>
    <row r="16" spans="1:19" ht="21.75" customHeight="1" x14ac:dyDescent="0.3">
      <c r="A16" s="29"/>
      <c r="B16" s="49"/>
      <c r="C16" s="30"/>
      <c r="D16" s="29"/>
      <c r="E16" s="30"/>
      <c r="F16" s="29"/>
      <c r="G16" s="50"/>
      <c r="H16" s="50"/>
      <c r="I16" s="50"/>
      <c r="J16" s="50"/>
      <c r="K16" s="50"/>
      <c r="L16" s="51" t="str">
        <f t="shared" si="0"/>
        <v/>
      </c>
      <c r="M16" s="51" t="str">
        <f t="shared" si="1"/>
        <v/>
      </c>
      <c r="N16" s="52" t="str">
        <f t="shared" si="2"/>
        <v/>
      </c>
      <c r="O16" s="29"/>
      <c r="P16" s="30"/>
      <c r="Q16" s="14"/>
      <c r="R16" s="14"/>
      <c r="S16" s="14"/>
    </row>
    <row r="17" spans="1:19" ht="21.75" customHeight="1" x14ac:dyDescent="0.3">
      <c r="A17" s="29"/>
      <c r="B17" s="49"/>
      <c r="C17" s="30"/>
      <c r="D17" s="29"/>
      <c r="E17" s="30"/>
      <c r="F17" s="29"/>
      <c r="G17" s="50"/>
      <c r="H17" s="50"/>
      <c r="I17" s="50"/>
      <c r="J17" s="50"/>
      <c r="K17" s="50"/>
      <c r="L17" s="51" t="str">
        <f t="shared" si="0"/>
        <v/>
      </c>
      <c r="M17" s="51" t="str">
        <f t="shared" si="1"/>
        <v/>
      </c>
      <c r="N17" s="52" t="str">
        <f t="shared" si="2"/>
        <v/>
      </c>
      <c r="O17" s="29"/>
      <c r="P17" s="30"/>
      <c r="Q17" s="14"/>
      <c r="R17" s="14"/>
      <c r="S17" s="14"/>
    </row>
    <row r="18" spans="1:19" ht="21.75" customHeight="1" x14ac:dyDescent="0.3">
      <c r="A18" s="29"/>
      <c r="B18" s="49"/>
      <c r="C18" s="30"/>
      <c r="D18" s="29"/>
      <c r="E18" s="30"/>
      <c r="F18" s="29"/>
      <c r="G18" s="50"/>
      <c r="H18" s="50"/>
      <c r="I18" s="50"/>
      <c r="J18" s="50"/>
      <c r="K18" s="50"/>
      <c r="L18" s="51" t="str">
        <f t="shared" si="0"/>
        <v/>
      </c>
      <c r="M18" s="51" t="str">
        <f t="shared" si="1"/>
        <v/>
      </c>
      <c r="N18" s="52" t="str">
        <f t="shared" si="2"/>
        <v/>
      </c>
      <c r="O18" s="29"/>
      <c r="P18" s="30"/>
      <c r="Q18" s="14"/>
      <c r="R18" s="14"/>
      <c r="S18" s="14"/>
    </row>
    <row r="19" spans="1:19" ht="21.75" customHeight="1" x14ac:dyDescent="0.3">
      <c r="A19" s="29"/>
      <c r="B19" s="49"/>
      <c r="C19" s="30"/>
      <c r="D19" s="29"/>
      <c r="E19" s="30"/>
      <c r="F19" s="29"/>
      <c r="G19" s="50"/>
      <c r="H19" s="50"/>
      <c r="I19" s="50"/>
      <c r="J19" s="50"/>
      <c r="K19" s="50"/>
      <c r="L19" s="51" t="str">
        <f t="shared" si="0"/>
        <v/>
      </c>
      <c r="M19" s="51" t="str">
        <f t="shared" si="1"/>
        <v/>
      </c>
      <c r="N19" s="52" t="str">
        <f t="shared" si="2"/>
        <v/>
      </c>
      <c r="O19" s="29"/>
      <c r="P19" s="30"/>
      <c r="Q19" s="14"/>
      <c r="R19" s="14"/>
      <c r="S19" s="14"/>
    </row>
    <row r="20" spans="1:19" ht="21.75" customHeight="1" x14ac:dyDescent="0.3">
      <c r="A20" s="29"/>
      <c r="B20" s="49"/>
      <c r="C20" s="30"/>
      <c r="D20" s="29"/>
      <c r="E20" s="30"/>
      <c r="F20" s="29"/>
      <c r="G20" s="50"/>
      <c r="H20" s="50"/>
      <c r="I20" s="50"/>
      <c r="J20" s="50"/>
      <c r="K20" s="50"/>
      <c r="L20" s="51" t="str">
        <f t="shared" si="0"/>
        <v/>
      </c>
      <c r="M20" s="51" t="str">
        <f t="shared" si="1"/>
        <v/>
      </c>
      <c r="N20" s="52" t="str">
        <f t="shared" si="2"/>
        <v/>
      </c>
      <c r="O20" s="29"/>
      <c r="P20" s="30"/>
      <c r="Q20" s="14"/>
      <c r="R20" s="14"/>
      <c r="S20" s="14"/>
    </row>
    <row r="21" spans="1:19" ht="21.75" customHeight="1" x14ac:dyDescent="0.3">
      <c r="A21" s="29"/>
      <c r="B21" s="49"/>
      <c r="C21" s="30"/>
      <c r="D21" s="29"/>
      <c r="E21" s="30"/>
      <c r="F21" s="29"/>
      <c r="G21" s="50"/>
      <c r="H21" s="50"/>
      <c r="I21" s="50"/>
      <c r="J21" s="50"/>
      <c r="K21" s="50"/>
      <c r="L21" s="51" t="str">
        <f t="shared" si="0"/>
        <v/>
      </c>
      <c r="M21" s="51" t="str">
        <f t="shared" si="1"/>
        <v/>
      </c>
      <c r="N21" s="52" t="str">
        <f t="shared" si="2"/>
        <v/>
      </c>
      <c r="O21" s="29"/>
      <c r="P21" s="30"/>
      <c r="Q21" s="14"/>
      <c r="R21" s="14"/>
      <c r="S21" s="14"/>
    </row>
    <row r="22" spans="1:19" ht="21.75" customHeight="1" x14ac:dyDescent="0.3">
      <c r="A22" s="29"/>
      <c r="B22" s="49"/>
      <c r="C22" s="30"/>
      <c r="D22" s="29"/>
      <c r="E22" s="30"/>
      <c r="F22" s="29"/>
      <c r="G22" s="50"/>
      <c r="H22" s="50"/>
      <c r="I22" s="50"/>
      <c r="J22" s="50"/>
      <c r="K22" s="50"/>
      <c r="L22" s="51" t="str">
        <f t="shared" si="0"/>
        <v/>
      </c>
      <c r="M22" s="51" t="str">
        <f t="shared" si="1"/>
        <v/>
      </c>
      <c r="N22" s="52" t="str">
        <f t="shared" si="2"/>
        <v/>
      </c>
      <c r="O22" s="29"/>
      <c r="P22" s="30"/>
      <c r="Q22" s="14"/>
      <c r="R22" s="14"/>
      <c r="S22" s="14"/>
    </row>
    <row r="23" spans="1:19" ht="21.75" customHeight="1" x14ac:dyDescent="0.3">
      <c r="A23" s="29"/>
      <c r="B23" s="49"/>
      <c r="C23" s="30"/>
      <c r="D23" s="29"/>
      <c r="E23" s="30"/>
      <c r="F23" s="29"/>
      <c r="G23" s="50"/>
      <c r="H23" s="50"/>
      <c r="I23" s="50"/>
      <c r="J23" s="50"/>
      <c r="K23" s="50"/>
      <c r="L23" s="51" t="str">
        <f t="shared" si="0"/>
        <v/>
      </c>
      <c r="M23" s="51" t="str">
        <f t="shared" si="1"/>
        <v/>
      </c>
      <c r="N23" s="52" t="str">
        <f t="shared" si="2"/>
        <v/>
      </c>
      <c r="O23" s="29"/>
      <c r="P23" s="30"/>
      <c r="Q23" s="14"/>
      <c r="R23" s="14"/>
      <c r="S23" s="14"/>
    </row>
    <row r="24" spans="1:19" ht="21.75" customHeight="1" x14ac:dyDescent="0.3">
      <c r="A24" s="29"/>
      <c r="B24" s="49"/>
      <c r="C24" s="30"/>
      <c r="D24" s="29"/>
      <c r="E24" s="30"/>
      <c r="F24" s="29"/>
      <c r="G24" s="50"/>
      <c r="H24" s="50"/>
      <c r="I24" s="50"/>
      <c r="J24" s="50"/>
      <c r="K24" s="50"/>
      <c r="L24" s="51" t="str">
        <f t="shared" si="0"/>
        <v/>
      </c>
      <c r="M24" s="51" t="str">
        <f t="shared" si="1"/>
        <v/>
      </c>
      <c r="N24" s="52" t="str">
        <f t="shared" si="2"/>
        <v/>
      </c>
      <c r="O24" s="29"/>
      <c r="P24" s="30"/>
      <c r="Q24" s="14"/>
      <c r="R24" s="14"/>
      <c r="S24" s="14"/>
    </row>
    <row r="25" spans="1:19" ht="21.75" customHeight="1" x14ac:dyDescent="0.3">
      <c r="A25" s="29"/>
      <c r="B25" s="49"/>
      <c r="C25" s="30"/>
      <c r="D25" s="29"/>
      <c r="E25" s="30"/>
      <c r="F25" s="29"/>
      <c r="G25" s="50"/>
      <c r="H25" s="50"/>
      <c r="I25" s="50"/>
      <c r="J25" s="50"/>
      <c r="K25" s="50"/>
      <c r="L25" s="51" t="str">
        <f t="shared" si="0"/>
        <v/>
      </c>
      <c r="M25" s="51" t="str">
        <f t="shared" si="1"/>
        <v/>
      </c>
      <c r="N25" s="52" t="str">
        <f t="shared" si="2"/>
        <v/>
      </c>
      <c r="O25" s="29"/>
      <c r="P25" s="30"/>
      <c r="Q25" s="14"/>
      <c r="R25" s="14"/>
      <c r="S25" s="14"/>
    </row>
    <row r="26" spans="1:19" ht="21.75" customHeight="1" x14ac:dyDescent="0.3">
      <c r="A26" s="29"/>
      <c r="B26" s="49"/>
      <c r="C26" s="30"/>
      <c r="D26" s="29"/>
      <c r="E26" s="30"/>
      <c r="F26" s="29"/>
      <c r="G26" s="50"/>
      <c r="H26" s="50"/>
      <c r="I26" s="50"/>
      <c r="J26" s="50"/>
      <c r="K26" s="50"/>
      <c r="L26" s="51" t="str">
        <f t="shared" si="0"/>
        <v/>
      </c>
      <c r="M26" s="51" t="str">
        <f t="shared" si="1"/>
        <v/>
      </c>
      <c r="N26" s="52" t="str">
        <f t="shared" si="2"/>
        <v/>
      </c>
      <c r="O26" s="29"/>
      <c r="P26" s="30"/>
      <c r="Q26" s="14"/>
      <c r="R26" s="14"/>
      <c r="S26" s="14"/>
    </row>
    <row r="27" spans="1:19" ht="21.75" customHeight="1" x14ac:dyDescent="0.3">
      <c r="A27" s="29"/>
      <c r="B27" s="49"/>
      <c r="C27" s="30"/>
      <c r="D27" s="29"/>
      <c r="E27" s="30"/>
      <c r="F27" s="29"/>
      <c r="G27" s="50"/>
      <c r="H27" s="50"/>
      <c r="I27" s="50"/>
      <c r="J27" s="50"/>
      <c r="K27" s="50"/>
      <c r="L27" s="51" t="str">
        <f t="shared" si="0"/>
        <v/>
      </c>
      <c r="M27" s="51" t="str">
        <f t="shared" si="1"/>
        <v/>
      </c>
      <c r="N27" s="52" t="str">
        <f t="shared" si="2"/>
        <v/>
      </c>
      <c r="O27" s="29"/>
      <c r="P27" s="30"/>
      <c r="Q27" s="14"/>
      <c r="R27" s="14"/>
      <c r="S27" s="14"/>
    </row>
    <row r="28" spans="1:19" ht="21.75" customHeight="1" x14ac:dyDescent="0.3">
      <c r="A28" s="29"/>
      <c r="B28" s="49"/>
      <c r="C28" s="30"/>
      <c r="D28" s="29"/>
      <c r="E28" s="30"/>
      <c r="F28" s="29"/>
      <c r="G28" s="50"/>
      <c r="H28" s="50"/>
      <c r="I28" s="50"/>
      <c r="J28" s="50"/>
      <c r="K28" s="50"/>
      <c r="L28" s="51" t="str">
        <f t="shared" si="0"/>
        <v/>
      </c>
      <c r="M28" s="51" t="str">
        <f t="shared" si="1"/>
        <v/>
      </c>
      <c r="N28" s="52" t="str">
        <f t="shared" si="2"/>
        <v/>
      </c>
      <c r="O28" s="29"/>
      <c r="P28" s="30"/>
      <c r="Q28" s="14"/>
      <c r="R28" s="14"/>
      <c r="S28" s="14"/>
    </row>
    <row r="29" spans="1:19" ht="21.75" customHeight="1" x14ac:dyDescent="0.3">
      <c r="A29" s="29"/>
      <c r="B29" s="49"/>
      <c r="C29" s="30"/>
      <c r="D29" s="29"/>
      <c r="E29" s="30"/>
      <c r="F29" s="29"/>
      <c r="G29" s="50"/>
      <c r="H29" s="50"/>
      <c r="I29" s="50"/>
      <c r="J29" s="50"/>
      <c r="K29" s="50"/>
      <c r="L29" s="51" t="str">
        <f t="shared" si="0"/>
        <v/>
      </c>
      <c r="M29" s="51" t="str">
        <f t="shared" si="1"/>
        <v/>
      </c>
      <c r="N29" s="52" t="str">
        <f t="shared" si="2"/>
        <v/>
      </c>
      <c r="O29" s="29"/>
      <c r="P29" s="30"/>
      <c r="Q29" s="14"/>
      <c r="R29" s="14"/>
      <c r="S29" s="14"/>
    </row>
    <row r="30" spans="1:19" ht="21.75" customHeight="1" x14ac:dyDescent="0.3">
      <c r="A30" s="29"/>
      <c r="B30" s="49"/>
      <c r="C30" s="30"/>
      <c r="D30" s="29"/>
      <c r="E30" s="30"/>
      <c r="F30" s="29"/>
      <c r="G30" s="50"/>
      <c r="H30" s="50"/>
      <c r="I30" s="50"/>
      <c r="J30" s="50"/>
      <c r="K30" s="50"/>
      <c r="L30" s="51" t="str">
        <f t="shared" si="0"/>
        <v/>
      </c>
      <c r="M30" s="51" t="str">
        <f t="shared" si="1"/>
        <v/>
      </c>
      <c r="N30" s="52" t="str">
        <f t="shared" si="2"/>
        <v/>
      </c>
      <c r="O30" s="29"/>
      <c r="P30" s="30"/>
      <c r="Q30" s="14"/>
      <c r="R30" s="14"/>
      <c r="S30" s="14"/>
    </row>
    <row r="31" spans="1:19" ht="21.75" customHeight="1" x14ac:dyDescent="0.3">
      <c r="A31" s="29"/>
      <c r="B31" s="49"/>
      <c r="C31" s="30"/>
      <c r="D31" s="29"/>
      <c r="E31" s="30"/>
      <c r="F31" s="29"/>
      <c r="G31" s="50"/>
      <c r="H31" s="50"/>
      <c r="I31" s="50"/>
      <c r="J31" s="50"/>
      <c r="K31" s="50"/>
      <c r="L31" s="51" t="str">
        <f t="shared" si="0"/>
        <v/>
      </c>
      <c r="M31" s="51" t="str">
        <f t="shared" si="1"/>
        <v/>
      </c>
      <c r="N31" s="52" t="str">
        <f t="shared" si="2"/>
        <v/>
      </c>
      <c r="O31" s="29"/>
      <c r="P31" s="30"/>
      <c r="Q31" s="14"/>
      <c r="R31" s="14"/>
      <c r="S31" s="14"/>
    </row>
    <row r="32" spans="1:19" ht="21.75" customHeight="1" x14ac:dyDescent="0.3">
      <c r="A32" s="29"/>
      <c r="B32" s="49"/>
      <c r="C32" s="30"/>
      <c r="D32" s="29"/>
      <c r="E32" s="30"/>
      <c r="F32" s="29"/>
      <c r="G32" s="50"/>
      <c r="H32" s="50"/>
      <c r="I32" s="50"/>
      <c r="J32" s="50"/>
      <c r="K32" s="50"/>
      <c r="L32" s="51" t="str">
        <f t="shared" si="0"/>
        <v/>
      </c>
      <c r="M32" s="51" t="str">
        <f t="shared" si="1"/>
        <v/>
      </c>
      <c r="N32" s="52" t="str">
        <f t="shared" si="2"/>
        <v/>
      </c>
      <c r="O32" s="29"/>
      <c r="P32" s="30"/>
      <c r="Q32" s="14"/>
      <c r="R32" s="14"/>
      <c r="S32" s="14"/>
    </row>
    <row r="33" spans="1:19" ht="21.75" customHeight="1" x14ac:dyDescent="0.3">
      <c r="A33" s="29"/>
      <c r="B33" s="49"/>
      <c r="C33" s="30"/>
      <c r="D33" s="29"/>
      <c r="E33" s="30"/>
      <c r="F33" s="29"/>
      <c r="G33" s="50"/>
      <c r="H33" s="50"/>
      <c r="I33" s="50"/>
      <c r="J33" s="50"/>
      <c r="K33" s="50"/>
      <c r="L33" s="51" t="str">
        <f t="shared" si="0"/>
        <v/>
      </c>
      <c r="M33" s="51" t="str">
        <f t="shared" si="1"/>
        <v/>
      </c>
      <c r="N33" s="52" t="str">
        <f t="shared" si="2"/>
        <v/>
      </c>
      <c r="O33" s="29"/>
      <c r="P33" s="30"/>
      <c r="Q33" s="14"/>
      <c r="R33" s="14"/>
      <c r="S33" s="14"/>
    </row>
    <row r="34" spans="1:19" ht="21.75" customHeight="1" x14ac:dyDescent="0.3">
      <c r="A34" s="29"/>
      <c r="B34" s="49"/>
      <c r="C34" s="30"/>
      <c r="D34" s="29"/>
      <c r="E34" s="30"/>
      <c r="F34" s="29"/>
      <c r="G34" s="50"/>
      <c r="H34" s="50"/>
      <c r="I34" s="50"/>
      <c r="J34" s="50"/>
      <c r="K34" s="50"/>
      <c r="L34" s="51" t="str">
        <f t="shared" si="0"/>
        <v/>
      </c>
      <c r="M34" s="51" t="str">
        <f t="shared" si="1"/>
        <v/>
      </c>
      <c r="N34" s="52" t="str">
        <f t="shared" si="2"/>
        <v/>
      </c>
      <c r="O34" s="29"/>
      <c r="P34" s="30"/>
      <c r="Q34" s="14"/>
      <c r="R34" s="14"/>
      <c r="S34" s="14"/>
    </row>
    <row r="35" spans="1:19" ht="21.75" customHeight="1" x14ac:dyDescent="0.3">
      <c r="A35" s="29"/>
      <c r="B35" s="49"/>
      <c r="C35" s="30"/>
      <c r="D35" s="29"/>
      <c r="E35" s="30"/>
      <c r="F35" s="29"/>
      <c r="G35" s="50"/>
      <c r="H35" s="50"/>
      <c r="I35" s="50"/>
      <c r="J35" s="50"/>
      <c r="K35" s="50"/>
      <c r="L35" s="51" t="str">
        <f t="shared" si="0"/>
        <v/>
      </c>
      <c r="M35" s="51" t="str">
        <f t="shared" si="1"/>
        <v/>
      </c>
      <c r="N35" s="52" t="str">
        <f t="shared" si="2"/>
        <v/>
      </c>
      <c r="O35" s="29"/>
      <c r="P35" s="30"/>
      <c r="Q35" s="14"/>
      <c r="R35" s="14"/>
      <c r="S35" s="14"/>
    </row>
    <row r="36" spans="1:19" ht="21.75" customHeight="1" x14ac:dyDescent="0.3">
      <c r="A36" s="29"/>
      <c r="B36" s="49"/>
      <c r="C36" s="30"/>
      <c r="D36" s="29"/>
      <c r="E36" s="30"/>
      <c r="F36" s="29"/>
      <c r="G36" s="50"/>
      <c r="H36" s="50"/>
      <c r="I36" s="50"/>
      <c r="J36" s="50"/>
      <c r="K36" s="50"/>
      <c r="L36" s="51" t="str">
        <f t="shared" si="0"/>
        <v/>
      </c>
      <c r="M36" s="51" t="str">
        <f t="shared" si="1"/>
        <v/>
      </c>
      <c r="N36" s="52" t="str">
        <f t="shared" si="2"/>
        <v/>
      </c>
      <c r="O36" s="29"/>
      <c r="P36" s="30"/>
      <c r="Q36" s="14"/>
      <c r="R36" s="14"/>
      <c r="S36" s="14"/>
    </row>
    <row r="37" spans="1:19" ht="21.75" customHeight="1" x14ac:dyDescent="0.3">
      <c r="A37" s="29"/>
      <c r="B37" s="49"/>
      <c r="C37" s="30"/>
      <c r="D37" s="29"/>
      <c r="E37" s="30"/>
      <c r="F37" s="29"/>
      <c r="G37" s="50"/>
      <c r="H37" s="50"/>
      <c r="I37" s="50"/>
      <c r="J37" s="50"/>
      <c r="K37" s="50"/>
      <c r="L37" s="51" t="str">
        <f t="shared" si="0"/>
        <v/>
      </c>
      <c r="M37" s="51" t="str">
        <f t="shared" si="1"/>
        <v/>
      </c>
      <c r="N37" s="52" t="str">
        <f t="shared" si="2"/>
        <v/>
      </c>
      <c r="O37" s="29"/>
      <c r="P37" s="30"/>
      <c r="Q37" s="14"/>
      <c r="R37" s="14"/>
      <c r="S37" s="14"/>
    </row>
    <row r="38" spans="1:19" ht="21.75" customHeight="1" x14ac:dyDescent="0.3">
      <c r="A38" s="29"/>
      <c r="B38" s="49"/>
      <c r="C38" s="30"/>
      <c r="D38" s="29"/>
      <c r="E38" s="30"/>
      <c r="F38" s="29"/>
      <c r="G38" s="50"/>
      <c r="H38" s="50"/>
      <c r="I38" s="50"/>
      <c r="J38" s="50"/>
      <c r="K38" s="50"/>
      <c r="L38" s="51" t="str">
        <f t="shared" si="0"/>
        <v/>
      </c>
      <c r="M38" s="51" t="str">
        <f t="shared" si="1"/>
        <v/>
      </c>
      <c r="N38" s="52" t="str">
        <f t="shared" si="2"/>
        <v/>
      </c>
      <c r="O38" s="29"/>
      <c r="P38" s="30"/>
      <c r="Q38" s="14"/>
      <c r="R38" s="14"/>
      <c r="S38" s="14"/>
    </row>
    <row r="39" spans="1:19" ht="21.75" customHeight="1" x14ac:dyDescent="0.3">
      <c r="A39" s="29"/>
      <c r="B39" s="49"/>
      <c r="C39" s="30"/>
      <c r="D39" s="29"/>
      <c r="E39" s="30"/>
      <c r="F39" s="29"/>
      <c r="G39" s="50"/>
      <c r="H39" s="50"/>
      <c r="I39" s="50"/>
      <c r="J39" s="50"/>
      <c r="K39" s="50"/>
      <c r="L39" s="51" t="str">
        <f t="shared" si="0"/>
        <v/>
      </c>
      <c r="M39" s="51" t="str">
        <f t="shared" si="1"/>
        <v/>
      </c>
      <c r="N39" s="52" t="str">
        <f t="shared" si="2"/>
        <v/>
      </c>
      <c r="O39" s="29"/>
      <c r="P39" s="30"/>
      <c r="Q39" s="14"/>
      <c r="R39" s="14"/>
      <c r="S39" s="14"/>
    </row>
    <row r="40" spans="1:19" ht="21.75" customHeight="1" x14ac:dyDescent="0.3">
      <c r="A40" s="29"/>
      <c r="B40" s="49"/>
      <c r="C40" s="30"/>
      <c r="D40" s="29"/>
      <c r="E40" s="30"/>
      <c r="F40" s="29"/>
      <c r="G40" s="50"/>
      <c r="H40" s="50"/>
      <c r="I40" s="50"/>
      <c r="J40" s="50"/>
      <c r="K40" s="50"/>
      <c r="L40" s="51" t="str">
        <f t="shared" si="0"/>
        <v/>
      </c>
      <c r="M40" s="51" t="str">
        <f t="shared" si="1"/>
        <v/>
      </c>
      <c r="N40" s="52" t="str">
        <f t="shared" si="2"/>
        <v/>
      </c>
      <c r="O40" s="29"/>
      <c r="P40" s="30"/>
      <c r="Q40" s="14"/>
      <c r="R40" s="14"/>
      <c r="S40" s="14"/>
    </row>
    <row r="41" spans="1:19" ht="21.75" customHeight="1" x14ac:dyDescent="0.3">
      <c r="A41" s="29"/>
      <c r="B41" s="49"/>
      <c r="C41" s="30"/>
      <c r="D41" s="29"/>
      <c r="E41" s="30"/>
      <c r="F41" s="29"/>
      <c r="G41" s="50"/>
      <c r="H41" s="50"/>
      <c r="I41" s="50"/>
      <c r="J41" s="50"/>
      <c r="K41" s="50"/>
      <c r="L41" s="51" t="str">
        <f t="shared" si="0"/>
        <v/>
      </c>
      <c r="M41" s="51" t="str">
        <f t="shared" si="1"/>
        <v/>
      </c>
      <c r="N41" s="52" t="str">
        <f t="shared" si="2"/>
        <v/>
      </c>
      <c r="O41" s="29"/>
      <c r="P41" s="30"/>
      <c r="Q41" s="14"/>
      <c r="R41" s="14"/>
      <c r="S41" s="14"/>
    </row>
    <row r="42" spans="1:19" ht="21.75" customHeight="1" x14ac:dyDescent="0.3">
      <c r="A42" s="29"/>
      <c r="B42" s="49"/>
      <c r="C42" s="30"/>
      <c r="D42" s="29"/>
      <c r="E42" s="30"/>
      <c r="F42" s="29"/>
      <c r="G42" s="50"/>
      <c r="H42" s="50"/>
      <c r="I42" s="50"/>
      <c r="J42" s="50"/>
      <c r="K42" s="50"/>
      <c r="L42" s="51" t="str">
        <f t="shared" si="0"/>
        <v/>
      </c>
      <c r="M42" s="51" t="str">
        <f t="shared" si="1"/>
        <v/>
      </c>
      <c r="N42" s="52" t="str">
        <f t="shared" si="2"/>
        <v/>
      </c>
      <c r="O42" s="29"/>
      <c r="P42" s="30"/>
      <c r="Q42" s="14"/>
      <c r="R42" s="14"/>
      <c r="S42" s="14"/>
    </row>
    <row r="43" spans="1:19" ht="21.75" customHeight="1" x14ac:dyDescent="0.3">
      <c r="A43" s="29"/>
      <c r="B43" s="49"/>
      <c r="C43" s="30"/>
      <c r="D43" s="29"/>
      <c r="E43" s="30"/>
      <c r="F43" s="29"/>
      <c r="G43" s="50"/>
      <c r="H43" s="50"/>
      <c r="I43" s="50"/>
      <c r="J43" s="50"/>
      <c r="K43" s="50"/>
      <c r="L43" s="51" t="str">
        <f t="shared" si="0"/>
        <v/>
      </c>
      <c r="M43" s="51" t="str">
        <f t="shared" si="1"/>
        <v/>
      </c>
      <c r="N43" s="52" t="str">
        <f t="shared" si="2"/>
        <v/>
      </c>
      <c r="O43" s="29"/>
      <c r="P43" s="30"/>
      <c r="Q43" s="14"/>
      <c r="R43" s="14"/>
      <c r="S43" s="14"/>
    </row>
    <row r="44" spans="1:19" ht="21.75" customHeight="1" x14ac:dyDescent="0.3">
      <c r="A44" s="29"/>
      <c r="B44" s="49"/>
      <c r="C44" s="30"/>
      <c r="D44" s="29"/>
      <c r="E44" s="30"/>
      <c r="F44" s="29"/>
      <c r="G44" s="50"/>
      <c r="H44" s="50"/>
      <c r="I44" s="50"/>
      <c r="J44" s="50"/>
      <c r="K44" s="50"/>
      <c r="L44" s="51" t="str">
        <f t="shared" si="0"/>
        <v/>
      </c>
      <c r="M44" s="51" t="str">
        <f t="shared" si="1"/>
        <v/>
      </c>
      <c r="N44" s="52" t="str">
        <f t="shared" si="2"/>
        <v/>
      </c>
      <c r="O44" s="29"/>
      <c r="P44" s="30"/>
      <c r="Q44" s="14"/>
      <c r="R44" s="14"/>
      <c r="S44" s="14"/>
    </row>
    <row r="45" spans="1:19" ht="24" customHeight="1" x14ac:dyDescent="0.3">
      <c r="A45" s="116" t="s">
        <v>308</v>
      </c>
      <c r="B45" s="116"/>
      <c r="C45" s="116"/>
      <c r="D45" s="116"/>
      <c r="E45" s="116"/>
      <c r="F45" s="46">
        <f t="shared" ref="F45:M45" si="3">SUM(F5:F44)</f>
        <v>17</v>
      </c>
      <c r="G45" s="46">
        <f t="shared" si="3"/>
        <v>1860000</v>
      </c>
      <c r="H45" s="46">
        <f t="shared" si="3"/>
        <v>1550000</v>
      </c>
      <c r="I45" s="46">
        <f t="shared" si="3"/>
        <v>0</v>
      </c>
      <c r="J45" s="46">
        <f t="shared" si="3"/>
        <v>0</v>
      </c>
      <c r="K45" s="46">
        <f t="shared" si="3"/>
        <v>0</v>
      </c>
      <c r="L45" s="46">
        <f t="shared" si="3"/>
        <v>1550000</v>
      </c>
      <c r="M45" s="46">
        <f t="shared" si="3"/>
        <v>310000</v>
      </c>
      <c r="N45" s="53">
        <f>IFERROR(M45/G45,"")</f>
        <v>0.16666666666666666</v>
      </c>
      <c r="O45" s="48"/>
      <c r="P45" s="48"/>
      <c r="Q45" s="14"/>
      <c r="R45" s="14"/>
      <c r="S45" s="14"/>
    </row>
    <row r="46" spans="1:19" ht="15" customHeight="1" x14ac:dyDescent="0.3">
      <c r="A46" s="117" t="s">
        <v>309</v>
      </c>
      <c r="B46" s="117"/>
      <c r="C46" s="117"/>
      <c r="D46" s="117"/>
      <c r="E46" s="117"/>
      <c r="F46" s="117"/>
      <c r="G46" s="117"/>
      <c r="H46" s="117"/>
      <c r="I46" s="117"/>
      <c r="J46" s="117"/>
      <c r="K46" s="117"/>
      <c r="L46" s="117"/>
      <c r="M46" s="117"/>
      <c r="N46" s="117"/>
      <c r="O46" s="117"/>
      <c r="P46" s="117"/>
      <c r="Q46" s="14"/>
      <c r="R46" s="14"/>
      <c r="S46" s="14"/>
    </row>
    <row r="47" spans="1:19" ht="15" customHeight="1" x14ac:dyDescent="0.3">
      <c r="A47" s="118" t="s">
        <v>310</v>
      </c>
      <c r="B47" s="118"/>
      <c r="C47" s="118"/>
      <c r="D47" s="118"/>
      <c r="E47" s="118"/>
      <c r="F47" s="118"/>
      <c r="G47" s="118"/>
      <c r="H47" s="118"/>
      <c r="I47" s="118"/>
      <c r="J47" s="118"/>
      <c r="K47" s="118"/>
      <c r="L47" s="118"/>
      <c r="M47" s="118"/>
      <c r="N47" s="118"/>
      <c r="O47" s="118"/>
      <c r="P47" s="118"/>
      <c r="Q47" s="14"/>
      <c r="R47" s="14"/>
      <c r="S47" s="14"/>
    </row>
    <row r="48" spans="1:19" ht="15" customHeight="1" x14ac:dyDescent="0.3">
      <c r="A48" s="118" t="s">
        <v>311</v>
      </c>
      <c r="B48" s="118"/>
      <c r="C48" s="118"/>
      <c r="D48" s="118"/>
      <c r="E48" s="118"/>
      <c r="F48" s="118"/>
      <c r="G48" s="118"/>
      <c r="H48" s="118"/>
      <c r="I48" s="118"/>
      <c r="J48" s="118"/>
      <c r="K48" s="118"/>
      <c r="L48" s="118"/>
      <c r="M48" s="118"/>
      <c r="N48" s="118"/>
      <c r="O48" s="118"/>
      <c r="P48" s="118"/>
      <c r="Q48" s="14"/>
      <c r="R48" s="14"/>
      <c r="S48" s="14"/>
    </row>
    <row r="49" spans="1:19" ht="15" customHeight="1" x14ac:dyDescent="0.3">
      <c r="A49" s="118" t="s">
        <v>312</v>
      </c>
      <c r="B49" s="118"/>
      <c r="C49" s="118"/>
      <c r="D49" s="118"/>
      <c r="E49" s="118"/>
      <c r="F49" s="118"/>
      <c r="G49" s="118"/>
      <c r="H49" s="118"/>
      <c r="I49" s="118"/>
      <c r="J49" s="118"/>
      <c r="K49" s="118"/>
      <c r="L49" s="118"/>
      <c r="M49" s="118"/>
      <c r="N49" s="118"/>
      <c r="O49" s="118"/>
      <c r="P49" s="118"/>
      <c r="Q49" s="14"/>
      <c r="R49" s="14"/>
      <c r="S49" s="14"/>
    </row>
    <row r="50" spans="1:19" ht="15" customHeight="1" x14ac:dyDescent="0.3">
      <c r="A50" s="118" t="s">
        <v>313</v>
      </c>
      <c r="B50" s="118"/>
      <c r="C50" s="118"/>
      <c r="D50" s="118"/>
      <c r="E50" s="118"/>
      <c r="F50" s="118"/>
      <c r="G50" s="118"/>
      <c r="H50" s="118"/>
      <c r="I50" s="118"/>
      <c r="J50" s="118"/>
      <c r="K50" s="118"/>
      <c r="L50" s="118"/>
      <c r="M50" s="118"/>
      <c r="N50" s="118"/>
      <c r="O50" s="118"/>
      <c r="P50" s="118"/>
      <c r="Q50" s="14"/>
      <c r="R50" s="14"/>
      <c r="S50" s="14"/>
    </row>
  </sheetData>
  <sheetProtection sheet="1" formatCells="0" formatColumns="0" formatRows="0" insertColumns="0" insertRows="0" deleteColumns="0" deleteRows="0" sort="0" autoFilter="0"/>
  <autoFilter ref="A4:P44" xr:uid="{00000000-0009-0000-0000-000006000000}"/>
  <mergeCells count="10">
    <mergeCell ref="A46:P46"/>
    <mergeCell ref="A47:P47"/>
    <mergeCell ref="A48:P48"/>
    <mergeCell ref="A49:P49"/>
    <mergeCell ref="A50:P50"/>
    <mergeCell ref="A1:P1"/>
    <mergeCell ref="R1:S1"/>
    <mergeCell ref="A2:P2"/>
    <mergeCell ref="A3:F3"/>
    <mergeCell ref="A45:E45"/>
  </mergeCells>
  <conditionalFormatting sqref="M5:M44">
    <cfRule type="cellIs" dxfId="10" priority="2" operator="lessThan">
      <formula>0</formula>
    </cfRule>
  </conditionalFormatting>
  <conditionalFormatting sqref="N5:N44">
    <cfRule type="expression" dxfId="9" priority="3">
      <formula>AND(N5&lt;&gt;"",N5&lt;0.1)</formula>
    </cfRule>
  </conditionalFormatting>
  <dataValidations count="4">
    <dataValidation type="list" allowBlank="1" sqref="D5:D44" xr:uid="{00000000-0002-0000-0600-000000000000}">
      <formula1>"Website,Shopee,TikTok Shop,Lazada,Zalo,Facebook,Trực tiếp,Khác"</formula1>
      <formula2>0</formula2>
    </dataValidation>
    <dataValidation type="list" allowBlank="1" sqref="O5:O44" xr:uid="{00000000-0002-0000-0600-000001000000}">
      <formula1>"Đã thu,Chưa thu,Đã cọc,COD"</formula1>
      <formula2>0</formula2>
    </dataValidation>
    <dataValidation type="list" allowBlank="1" sqref="C5:C44" xr:uid="{00000000-0002-0000-0600-000002000000}">
      <formula1>DSKHACH</formula1>
      <formula2>0</formula2>
    </dataValidation>
    <dataValidation type="list" allowBlank="1" sqref="E5:E44" xr:uid="{00000000-0002-0000-0600-000003000000}">
      <formula1>DSSANPHAM</formula1>
      <formula2>0</formula2>
    </dataValidation>
  </dataValidations>
  <hyperlinks>
    <hyperlink ref="R1" location="'MUC-LUC'!A1" display="« MỤC LỤC" xr:uid="{00000000-0004-0000-0600-000000000000}"/>
  </hyperlinks>
  <pageMargins left="0.75" right="0.75" top="1" bottom="1" header="0.511811023622047" footer="0.511811023622047"/>
  <pageSetup paperSize="9"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5"/>
  <sheetViews>
    <sheetView showGridLines="0" zoomScaleNormal="100" workbookViewId="0">
      <pane xSplit="2" ySplit="3" topLeftCell="C4" activePane="bottomRight" state="frozen"/>
      <selection pane="topRight" activeCell="C1" sqref="C1"/>
      <selection pane="bottomLeft" activeCell="A4" sqref="A4"/>
      <selection pane="bottomRight" activeCell="C5" sqref="C5"/>
    </sheetView>
  </sheetViews>
  <sheetFormatPr defaultColWidth="8.6640625" defaultRowHeight="14.4" x14ac:dyDescent="0.3"/>
  <cols>
    <col min="1" max="1" width="13" style="13" customWidth="1"/>
    <col min="2" max="2" width="30" style="13" customWidth="1"/>
    <col min="3" max="3" width="9" style="13" customWidth="1"/>
    <col min="4" max="4" width="13" style="13" customWidth="1"/>
    <col min="5" max="5" width="14" style="13" customWidth="1"/>
    <col min="6" max="6" width="18" style="13" customWidth="1"/>
    <col min="7" max="7" width="13" style="13" customWidth="1"/>
    <col min="8" max="8" width="20" style="13" customWidth="1"/>
    <col min="9" max="9" width="12" style="13" customWidth="1"/>
    <col min="10" max="10" width="32" style="13" customWidth="1"/>
    <col min="11" max="11" width="12" style="13" customWidth="1"/>
    <col min="12" max="12" width="16" style="13" customWidth="1"/>
  </cols>
  <sheetData>
    <row r="1" spans="1:12" ht="27.75" customHeight="1" x14ac:dyDescent="0.3">
      <c r="A1" s="119" t="s">
        <v>314</v>
      </c>
      <c r="B1" s="119"/>
      <c r="C1" s="119"/>
      <c r="D1" s="119"/>
      <c r="E1" s="119"/>
      <c r="F1" s="119"/>
      <c r="G1" s="119"/>
      <c r="H1" s="119"/>
      <c r="I1" s="119"/>
      <c r="J1" s="119"/>
      <c r="K1" s="120" t="s">
        <v>1</v>
      </c>
      <c r="L1" s="120"/>
    </row>
    <row r="2" spans="1:12" ht="30" customHeight="1" x14ac:dyDescent="0.3">
      <c r="A2" s="95" t="s">
        <v>315</v>
      </c>
      <c r="B2" s="95"/>
      <c r="C2" s="95"/>
      <c r="D2" s="95"/>
      <c r="E2" s="95"/>
      <c r="F2" s="95"/>
      <c r="G2" s="95"/>
      <c r="H2" s="95"/>
      <c r="I2" s="95"/>
      <c r="J2" s="95"/>
      <c r="K2" s="95"/>
      <c r="L2" s="95"/>
    </row>
    <row r="3" spans="1:12" ht="31.5" customHeight="1" x14ac:dyDescent="0.3">
      <c r="A3" s="25" t="s">
        <v>316</v>
      </c>
      <c r="B3" s="25" t="s">
        <v>317</v>
      </c>
      <c r="C3" s="25" t="s">
        <v>318</v>
      </c>
      <c r="D3" s="25" t="s">
        <v>319</v>
      </c>
      <c r="E3" s="25" t="s">
        <v>320</v>
      </c>
      <c r="F3" s="25" t="s">
        <v>218</v>
      </c>
      <c r="G3" s="25" t="s">
        <v>171</v>
      </c>
      <c r="H3" s="25" t="s">
        <v>179</v>
      </c>
      <c r="I3" s="54" t="s">
        <v>321</v>
      </c>
      <c r="J3" s="54" t="s">
        <v>322</v>
      </c>
      <c r="K3" s="54" t="s">
        <v>323</v>
      </c>
      <c r="L3" s="54" t="s">
        <v>324</v>
      </c>
    </row>
    <row r="4" spans="1:12" ht="21.75" customHeight="1" x14ac:dyDescent="0.3">
      <c r="A4" s="49">
        <v>46170</v>
      </c>
      <c r="B4" s="30" t="s">
        <v>229</v>
      </c>
      <c r="C4" s="42">
        <v>10</v>
      </c>
      <c r="D4" s="50">
        <v>42000</v>
      </c>
      <c r="E4" s="51">
        <f t="shared" ref="E4:E43" si="0">IF(OR(C4="",D4=""),"",C4*D4)</f>
        <v>420000</v>
      </c>
      <c r="F4" s="30" t="s">
        <v>235</v>
      </c>
      <c r="G4" s="29" t="s">
        <v>325</v>
      </c>
      <c r="H4" s="30"/>
      <c r="I4" s="55" t="str">
        <f>IF($B4="","",IF(COUNTIF(SANPHAM!$D$5:$D$34,$B4)&gt;0,$B4,IFERROR(INDEX(SANPHAM!$D$5:$D$34,MATCH($B4,SANPHAM!$A$5:$A$34,0)),"?")))</f>
        <v>SP-001</v>
      </c>
      <c r="J4" s="56" t="str">
        <f>IF($B4="","",IF(COUNTIF(SANPHAM!$A$5:$A$34,$B4)&gt;0,$B4,IFERROR(INDEX(SANPHAM!$A$5:$A$34,MATCH($B4,SANPHAM!$D$5:$D$34,0)),"Không tìm thấy — kiểm tra mã/tên")))</f>
        <v>Decal giấy 35x22mm x50m (3 tem)</v>
      </c>
      <c r="K4" s="57">
        <f>IF($J4="","",IFERROR(INDEX(SANPHAM!$C$5:$C$34,MATCH($J4,SANPHAM!$A$5:$A$34,0)),""))</f>
        <v>60000</v>
      </c>
      <c r="L4" s="55" t="str">
        <f t="shared" ref="L4:L43" si="1">IF(OR($I4="",$I4="?"),"","*"&amp;$I4&amp;"*")</f>
        <v>*SP-001*</v>
      </c>
    </row>
    <row r="5" spans="1:12" ht="21.75" customHeight="1" x14ac:dyDescent="0.3">
      <c r="A5" s="49">
        <v>46174</v>
      </c>
      <c r="B5" s="30" t="s">
        <v>245</v>
      </c>
      <c r="C5" s="42">
        <v>20</v>
      </c>
      <c r="D5" s="50">
        <v>9000</v>
      </c>
      <c r="E5" s="51">
        <f t="shared" si="0"/>
        <v>180000</v>
      </c>
      <c r="F5" s="30" t="s">
        <v>248</v>
      </c>
      <c r="G5" s="29" t="s">
        <v>326</v>
      </c>
      <c r="H5" s="30" t="s">
        <v>327</v>
      </c>
      <c r="I5" s="55" t="str">
        <f>IF($B5="","",IF(COUNTIF(SANPHAM!$D$5:$D$34,$B5)&gt;0,$B5,IFERROR(INDEX(SANPHAM!$D$5:$D$34,MATCH($B5,SANPHAM!$A$5:$A$34,0)),"?")))</f>
        <v>SP-003</v>
      </c>
      <c r="J5" s="56" t="str">
        <f>IF($B5="","",IF(COUNTIF(SANPHAM!$A$5:$A$34,$B5)&gt;0,$B5,IFERROR(INDEX(SANPHAM!$A$5:$A$34,MATCH($B5,SANPHAM!$D$5:$D$34,0)),"Không tìm thấy — kiểm tra mã/tên")))</f>
        <v>Giấy in bill K80x45mm</v>
      </c>
      <c r="K5" s="57">
        <f>IF($J5="","",IFERROR(INDEX(SANPHAM!$C$5:$C$34,MATCH($J5,SANPHAM!$A$5:$A$34,0)),""))</f>
        <v>15000</v>
      </c>
      <c r="L5" s="55" t="str">
        <f t="shared" si="1"/>
        <v>*SP-003*</v>
      </c>
    </row>
    <row r="6" spans="1:12" ht="21.75" customHeight="1" x14ac:dyDescent="0.3">
      <c r="A6" s="49"/>
      <c r="B6" s="30"/>
      <c r="C6" s="42"/>
      <c r="D6" s="50"/>
      <c r="E6" s="51" t="str">
        <f t="shared" si="0"/>
        <v/>
      </c>
      <c r="F6" s="30"/>
      <c r="G6" s="29"/>
      <c r="H6" s="30"/>
      <c r="I6" s="55" t="str">
        <f>IF($B6="","",IF(COUNTIF(SANPHAM!$D$5:$D$34,$B6)&gt;0,$B6,IFERROR(INDEX(SANPHAM!$D$5:$D$34,MATCH($B6,SANPHAM!$A$5:$A$34,0)),"?")))</f>
        <v/>
      </c>
      <c r="J6" s="56" t="str">
        <f>IF($B6="","",IF(COUNTIF(SANPHAM!$A$5:$A$34,$B6)&gt;0,$B6,IFERROR(INDEX(SANPHAM!$A$5:$A$34,MATCH($B6,SANPHAM!$D$5:$D$34,0)),"Không tìm thấy — kiểm tra mã/tên")))</f>
        <v/>
      </c>
      <c r="K6" s="57" t="str">
        <f>IF($J6="","",IFERROR(INDEX(SANPHAM!$C$5:$C$34,MATCH($J6,SANPHAM!$A$5:$A$34,0)),""))</f>
        <v/>
      </c>
      <c r="L6" s="55" t="str">
        <f t="shared" si="1"/>
        <v/>
      </c>
    </row>
    <row r="7" spans="1:12" ht="21.75" customHeight="1" x14ac:dyDescent="0.3">
      <c r="A7" s="49"/>
      <c r="B7" s="30"/>
      <c r="C7" s="42"/>
      <c r="D7" s="50"/>
      <c r="E7" s="51" t="str">
        <f t="shared" si="0"/>
        <v/>
      </c>
      <c r="F7" s="30"/>
      <c r="G7" s="29"/>
      <c r="H7" s="30"/>
      <c r="I7" s="55" t="str">
        <f>IF($B7="","",IF(COUNTIF(SANPHAM!$D$5:$D$34,$B7)&gt;0,$B7,IFERROR(INDEX(SANPHAM!$D$5:$D$34,MATCH($B7,SANPHAM!$A$5:$A$34,0)),"?")))</f>
        <v/>
      </c>
      <c r="J7" s="56" t="str">
        <f>IF($B7="","",IF(COUNTIF(SANPHAM!$A$5:$A$34,$B7)&gt;0,$B7,IFERROR(INDEX(SANPHAM!$A$5:$A$34,MATCH($B7,SANPHAM!$D$5:$D$34,0)),"Không tìm thấy — kiểm tra mã/tên")))</f>
        <v/>
      </c>
      <c r="K7" s="57" t="str">
        <f>IF($J7="","",IFERROR(INDEX(SANPHAM!$C$5:$C$34,MATCH($J7,SANPHAM!$A$5:$A$34,0)),""))</f>
        <v/>
      </c>
      <c r="L7" s="55" t="str">
        <f t="shared" si="1"/>
        <v/>
      </c>
    </row>
    <row r="8" spans="1:12" ht="21.75" customHeight="1" x14ac:dyDescent="0.3">
      <c r="A8" s="49"/>
      <c r="B8" s="30"/>
      <c r="C8" s="42"/>
      <c r="D8" s="50"/>
      <c r="E8" s="51" t="str">
        <f t="shared" si="0"/>
        <v/>
      </c>
      <c r="F8" s="30"/>
      <c r="G8" s="29"/>
      <c r="H8" s="30"/>
      <c r="I8" s="55" t="str">
        <f>IF($B8="","",IF(COUNTIF(SANPHAM!$D$5:$D$34,$B8)&gt;0,$B8,IFERROR(INDEX(SANPHAM!$D$5:$D$34,MATCH($B8,SANPHAM!$A$5:$A$34,0)),"?")))</f>
        <v/>
      </c>
      <c r="J8" s="56" t="str">
        <f>IF($B8="","",IF(COUNTIF(SANPHAM!$A$5:$A$34,$B8)&gt;0,$B8,IFERROR(INDEX(SANPHAM!$A$5:$A$34,MATCH($B8,SANPHAM!$D$5:$D$34,0)),"Không tìm thấy — kiểm tra mã/tên")))</f>
        <v/>
      </c>
      <c r="K8" s="57" t="str">
        <f>IF($J8="","",IFERROR(INDEX(SANPHAM!$C$5:$C$34,MATCH($J8,SANPHAM!$A$5:$A$34,0)),""))</f>
        <v/>
      </c>
      <c r="L8" s="55" t="str">
        <f t="shared" si="1"/>
        <v/>
      </c>
    </row>
    <row r="9" spans="1:12" ht="21.75" customHeight="1" x14ac:dyDescent="0.3">
      <c r="A9" s="49"/>
      <c r="B9" s="30"/>
      <c r="C9" s="42"/>
      <c r="D9" s="50"/>
      <c r="E9" s="51" t="str">
        <f t="shared" si="0"/>
        <v/>
      </c>
      <c r="F9" s="30"/>
      <c r="G9" s="29"/>
      <c r="H9" s="30"/>
      <c r="I9" s="55" t="str">
        <f>IF($B9="","",IF(COUNTIF(SANPHAM!$D$5:$D$34,$B9)&gt;0,$B9,IFERROR(INDEX(SANPHAM!$D$5:$D$34,MATCH($B9,SANPHAM!$A$5:$A$34,0)),"?")))</f>
        <v/>
      </c>
      <c r="J9" s="56" t="str">
        <f>IF($B9="","",IF(COUNTIF(SANPHAM!$A$5:$A$34,$B9)&gt;0,$B9,IFERROR(INDEX(SANPHAM!$A$5:$A$34,MATCH($B9,SANPHAM!$D$5:$D$34,0)),"Không tìm thấy — kiểm tra mã/tên")))</f>
        <v/>
      </c>
      <c r="K9" s="57" t="str">
        <f>IF($J9="","",IFERROR(INDEX(SANPHAM!$C$5:$C$34,MATCH($J9,SANPHAM!$A$5:$A$34,0)),""))</f>
        <v/>
      </c>
      <c r="L9" s="55" t="str">
        <f t="shared" si="1"/>
        <v/>
      </c>
    </row>
    <row r="10" spans="1:12" ht="21.75" customHeight="1" x14ac:dyDescent="0.3">
      <c r="A10" s="49"/>
      <c r="B10" s="30"/>
      <c r="C10" s="42"/>
      <c r="D10" s="50"/>
      <c r="E10" s="51" t="str">
        <f t="shared" si="0"/>
        <v/>
      </c>
      <c r="F10" s="30"/>
      <c r="G10" s="29"/>
      <c r="H10" s="30"/>
      <c r="I10" s="55" t="str">
        <f>IF($B10="","",IF(COUNTIF(SANPHAM!$D$5:$D$34,$B10)&gt;0,$B10,IFERROR(INDEX(SANPHAM!$D$5:$D$34,MATCH($B10,SANPHAM!$A$5:$A$34,0)),"?")))</f>
        <v/>
      </c>
      <c r="J10" s="56" t="str">
        <f>IF($B10="","",IF(COUNTIF(SANPHAM!$A$5:$A$34,$B10)&gt;0,$B10,IFERROR(INDEX(SANPHAM!$A$5:$A$34,MATCH($B10,SANPHAM!$D$5:$D$34,0)),"Không tìm thấy — kiểm tra mã/tên")))</f>
        <v/>
      </c>
      <c r="K10" s="57" t="str">
        <f>IF($J10="","",IFERROR(INDEX(SANPHAM!$C$5:$C$34,MATCH($J10,SANPHAM!$A$5:$A$34,0)),""))</f>
        <v/>
      </c>
      <c r="L10" s="55" t="str">
        <f t="shared" si="1"/>
        <v/>
      </c>
    </row>
    <row r="11" spans="1:12" ht="21.75" customHeight="1" x14ac:dyDescent="0.3">
      <c r="A11" s="49"/>
      <c r="B11" s="30"/>
      <c r="C11" s="42"/>
      <c r="D11" s="50"/>
      <c r="E11" s="51" t="str">
        <f t="shared" si="0"/>
        <v/>
      </c>
      <c r="F11" s="30"/>
      <c r="G11" s="29"/>
      <c r="H11" s="30"/>
      <c r="I11" s="55" t="str">
        <f>IF($B11="","",IF(COUNTIF(SANPHAM!$D$5:$D$34,$B11)&gt;0,$B11,IFERROR(INDEX(SANPHAM!$D$5:$D$34,MATCH($B11,SANPHAM!$A$5:$A$34,0)),"?")))</f>
        <v/>
      </c>
      <c r="J11" s="56" t="str">
        <f>IF($B11="","",IF(COUNTIF(SANPHAM!$A$5:$A$34,$B11)&gt;0,$B11,IFERROR(INDEX(SANPHAM!$A$5:$A$34,MATCH($B11,SANPHAM!$D$5:$D$34,0)),"Không tìm thấy — kiểm tra mã/tên")))</f>
        <v/>
      </c>
      <c r="K11" s="57" t="str">
        <f>IF($J11="","",IFERROR(INDEX(SANPHAM!$C$5:$C$34,MATCH($J11,SANPHAM!$A$5:$A$34,0)),""))</f>
        <v/>
      </c>
      <c r="L11" s="55" t="str">
        <f t="shared" si="1"/>
        <v/>
      </c>
    </row>
    <row r="12" spans="1:12" ht="21.75" customHeight="1" x14ac:dyDescent="0.3">
      <c r="A12" s="49"/>
      <c r="B12" s="30"/>
      <c r="C12" s="42"/>
      <c r="D12" s="50"/>
      <c r="E12" s="51" t="str">
        <f t="shared" si="0"/>
        <v/>
      </c>
      <c r="F12" s="30"/>
      <c r="G12" s="29"/>
      <c r="H12" s="30"/>
      <c r="I12" s="55" t="str">
        <f>IF($B12="","",IF(COUNTIF(SANPHAM!$D$5:$D$34,$B12)&gt;0,$B12,IFERROR(INDEX(SANPHAM!$D$5:$D$34,MATCH($B12,SANPHAM!$A$5:$A$34,0)),"?")))</f>
        <v/>
      </c>
      <c r="J12" s="56" t="str">
        <f>IF($B12="","",IF(COUNTIF(SANPHAM!$A$5:$A$34,$B12)&gt;0,$B12,IFERROR(INDEX(SANPHAM!$A$5:$A$34,MATCH($B12,SANPHAM!$D$5:$D$34,0)),"Không tìm thấy — kiểm tra mã/tên")))</f>
        <v/>
      </c>
      <c r="K12" s="57" t="str">
        <f>IF($J12="","",IFERROR(INDEX(SANPHAM!$C$5:$C$34,MATCH($J12,SANPHAM!$A$5:$A$34,0)),""))</f>
        <v/>
      </c>
      <c r="L12" s="55" t="str">
        <f t="shared" si="1"/>
        <v/>
      </c>
    </row>
    <row r="13" spans="1:12" ht="21.75" customHeight="1" x14ac:dyDescent="0.3">
      <c r="A13" s="49"/>
      <c r="B13" s="30"/>
      <c r="C13" s="42"/>
      <c r="D13" s="50"/>
      <c r="E13" s="51" t="str">
        <f t="shared" si="0"/>
        <v/>
      </c>
      <c r="F13" s="30"/>
      <c r="G13" s="29"/>
      <c r="H13" s="30"/>
      <c r="I13" s="55" t="str">
        <f>IF($B13="","",IF(COUNTIF(SANPHAM!$D$5:$D$34,$B13)&gt;0,$B13,IFERROR(INDEX(SANPHAM!$D$5:$D$34,MATCH($B13,SANPHAM!$A$5:$A$34,0)),"?")))</f>
        <v/>
      </c>
      <c r="J13" s="56" t="str">
        <f>IF($B13="","",IF(COUNTIF(SANPHAM!$A$5:$A$34,$B13)&gt;0,$B13,IFERROR(INDEX(SANPHAM!$A$5:$A$34,MATCH($B13,SANPHAM!$D$5:$D$34,0)),"Không tìm thấy — kiểm tra mã/tên")))</f>
        <v/>
      </c>
      <c r="K13" s="57" t="str">
        <f>IF($J13="","",IFERROR(INDEX(SANPHAM!$C$5:$C$34,MATCH($J13,SANPHAM!$A$5:$A$34,0)),""))</f>
        <v/>
      </c>
      <c r="L13" s="55" t="str">
        <f t="shared" si="1"/>
        <v/>
      </c>
    </row>
    <row r="14" spans="1:12" ht="21.75" customHeight="1" x14ac:dyDescent="0.3">
      <c r="A14" s="49"/>
      <c r="B14" s="30"/>
      <c r="C14" s="42"/>
      <c r="D14" s="50"/>
      <c r="E14" s="51" t="str">
        <f t="shared" si="0"/>
        <v/>
      </c>
      <c r="F14" s="30"/>
      <c r="G14" s="29"/>
      <c r="H14" s="30"/>
      <c r="I14" s="55" t="str">
        <f>IF($B14="","",IF(COUNTIF(SANPHAM!$D$5:$D$34,$B14)&gt;0,$B14,IFERROR(INDEX(SANPHAM!$D$5:$D$34,MATCH($B14,SANPHAM!$A$5:$A$34,0)),"?")))</f>
        <v/>
      </c>
      <c r="J14" s="56" t="str">
        <f>IF($B14="","",IF(COUNTIF(SANPHAM!$A$5:$A$34,$B14)&gt;0,$B14,IFERROR(INDEX(SANPHAM!$A$5:$A$34,MATCH($B14,SANPHAM!$D$5:$D$34,0)),"Không tìm thấy — kiểm tra mã/tên")))</f>
        <v/>
      </c>
      <c r="K14" s="57" t="str">
        <f>IF($J14="","",IFERROR(INDEX(SANPHAM!$C$5:$C$34,MATCH($J14,SANPHAM!$A$5:$A$34,0)),""))</f>
        <v/>
      </c>
      <c r="L14" s="55" t="str">
        <f t="shared" si="1"/>
        <v/>
      </c>
    </row>
    <row r="15" spans="1:12" ht="21.75" customHeight="1" x14ac:dyDescent="0.3">
      <c r="A15" s="49"/>
      <c r="B15" s="30"/>
      <c r="C15" s="42"/>
      <c r="D15" s="50"/>
      <c r="E15" s="51" t="str">
        <f t="shared" si="0"/>
        <v/>
      </c>
      <c r="F15" s="30"/>
      <c r="G15" s="29"/>
      <c r="H15" s="30"/>
      <c r="I15" s="55" t="str">
        <f>IF($B15="","",IF(COUNTIF(SANPHAM!$D$5:$D$34,$B15)&gt;0,$B15,IFERROR(INDEX(SANPHAM!$D$5:$D$34,MATCH($B15,SANPHAM!$A$5:$A$34,0)),"?")))</f>
        <v/>
      </c>
      <c r="J15" s="56" t="str">
        <f>IF($B15="","",IF(COUNTIF(SANPHAM!$A$5:$A$34,$B15)&gt;0,$B15,IFERROR(INDEX(SANPHAM!$A$5:$A$34,MATCH($B15,SANPHAM!$D$5:$D$34,0)),"Không tìm thấy — kiểm tra mã/tên")))</f>
        <v/>
      </c>
      <c r="K15" s="57" t="str">
        <f>IF($J15="","",IFERROR(INDEX(SANPHAM!$C$5:$C$34,MATCH($J15,SANPHAM!$A$5:$A$34,0)),""))</f>
        <v/>
      </c>
      <c r="L15" s="55" t="str">
        <f t="shared" si="1"/>
        <v/>
      </c>
    </row>
    <row r="16" spans="1:12" ht="21.75" customHeight="1" x14ac:dyDescent="0.3">
      <c r="A16" s="49"/>
      <c r="B16" s="30"/>
      <c r="C16" s="42"/>
      <c r="D16" s="50"/>
      <c r="E16" s="51" t="str">
        <f t="shared" si="0"/>
        <v/>
      </c>
      <c r="F16" s="30"/>
      <c r="G16" s="29"/>
      <c r="H16" s="30"/>
      <c r="I16" s="55" t="str">
        <f>IF($B16="","",IF(COUNTIF(SANPHAM!$D$5:$D$34,$B16)&gt;0,$B16,IFERROR(INDEX(SANPHAM!$D$5:$D$34,MATCH($B16,SANPHAM!$A$5:$A$34,0)),"?")))</f>
        <v/>
      </c>
      <c r="J16" s="56" t="str">
        <f>IF($B16="","",IF(COUNTIF(SANPHAM!$A$5:$A$34,$B16)&gt;0,$B16,IFERROR(INDEX(SANPHAM!$A$5:$A$34,MATCH($B16,SANPHAM!$D$5:$D$34,0)),"Không tìm thấy — kiểm tra mã/tên")))</f>
        <v/>
      </c>
      <c r="K16" s="57" t="str">
        <f>IF($J16="","",IFERROR(INDEX(SANPHAM!$C$5:$C$34,MATCH($J16,SANPHAM!$A$5:$A$34,0)),""))</f>
        <v/>
      </c>
      <c r="L16" s="55" t="str">
        <f t="shared" si="1"/>
        <v/>
      </c>
    </row>
    <row r="17" spans="1:12" ht="21.75" customHeight="1" x14ac:dyDescent="0.3">
      <c r="A17" s="49"/>
      <c r="B17" s="30"/>
      <c r="C17" s="42"/>
      <c r="D17" s="50"/>
      <c r="E17" s="51" t="str">
        <f t="shared" si="0"/>
        <v/>
      </c>
      <c r="F17" s="30"/>
      <c r="G17" s="29"/>
      <c r="H17" s="30"/>
      <c r="I17" s="55" t="str">
        <f>IF($B17="","",IF(COUNTIF(SANPHAM!$D$5:$D$34,$B17)&gt;0,$B17,IFERROR(INDEX(SANPHAM!$D$5:$D$34,MATCH($B17,SANPHAM!$A$5:$A$34,0)),"?")))</f>
        <v/>
      </c>
      <c r="J17" s="56" t="str">
        <f>IF($B17="","",IF(COUNTIF(SANPHAM!$A$5:$A$34,$B17)&gt;0,$B17,IFERROR(INDEX(SANPHAM!$A$5:$A$34,MATCH($B17,SANPHAM!$D$5:$D$34,0)),"Không tìm thấy — kiểm tra mã/tên")))</f>
        <v/>
      </c>
      <c r="K17" s="57" t="str">
        <f>IF($J17="","",IFERROR(INDEX(SANPHAM!$C$5:$C$34,MATCH($J17,SANPHAM!$A$5:$A$34,0)),""))</f>
        <v/>
      </c>
      <c r="L17" s="55" t="str">
        <f t="shared" si="1"/>
        <v/>
      </c>
    </row>
    <row r="18" spans="1:12" ht="21.75" customHeight="1" x14ac:dyDescent="0.3">
      <c r="A18" s="49"/>
      <c r="B18" s="30"/>
      <c r="C18" s="42"/>
      <c r="D18" s="50"/>
      <c r="E18" s="51" t="str">
        <f t="shared" si="0"/>
        <v/>
      </c>
      <c r="F18" s="30"/>
      <c r="G18" s="29"/>
      <c r="H18" s="30"/>
      <c r="I18" s="55" t="str">
        <f>IF($B18="","",IF(COUNTIF(SANPHAM!$D$5:$D$34,$B18)&gt;0,$B18,IFERROR(INDEX(SANPHAM!$D$5:$D$34,MATCH($B18,SANPHAM!$A$5:$A$34,0)),"?")))</f>
        <v/>
      </c>
      <c r="J18" s="56" t="str">
        <f>IF($B18="","",IF(COUNTIF(SANPHAM!$A$5:$A$34,$B18)&gt;0,$B18,IFERROR(INDEX(SANPHAM!$A$5:$A$34,MATCH($B18,SANPHAM!$D$5:$D$34,0)),"Không tìm thấy — kiểm tra mã/tên")))</f>
        <v/>
      </c>
      <c r="K18" s="57" t="str">
        <f>IF($J18="","",IFERROR(INDEX(SANPHAM!$C$5:$C$34,MATCH($J18,SANPHAM!$A$5:$A$34,0)),""))</f>
        <v/>
      </c>
      <c r="L18" s="55" t="str">
        <f t="shared" si="1"/>
        <v/>
      </c>
    </row>
    <row r="19" spans="1:12" ht="21.75" customHeight="1" x14ac:dyDescent="0.3">
      <c r="A19" s="49"/>
      <c r="B19" s="30"/>
      <c r="C19" s="42"/>
      <c r="D19" s="50"/>
      <c r="E19" s="51" t="str">
        <f t="shared" si="0"/>
        <v/>
      </c>
      <c r="F19" s="30"/>
      <c r="G19" s="29"/>
      <c r="H19" s="30"/>
      <c r="I19" s="55" t="str">
        <f>IF($B19="","",IF(COUNTIF(SANPHAM!$D$5:$D$34,$B19)&gt;0,$B19,IFERROR(INDEX(SANPHAM!$D$5:$D$34,MATCH($B19,SANPHAM!$A$5:$A$34,0)),"?")))</f>
        <v/>
      </c>
      <c r="J19" s="56" t="str">
        <f>IF($B19="","",IF(COUNTIF(SANPHAM!$A$5:$A$34,$B19)&gt;0,$B19,IFERROR(INDEX(SANPHAM!$A$5:$A$34,MATCH($B19,SANPHAM!$D$5:$D$34,0)),"Không tìm thấy — kiểm tra mã/tên")))</f>
        <v/>
      </c>
      <c r="K19" s="57" t="str">
        <f>IF($J19="","",IFERROR(INDEX(SANPHAM!$C$5:$C$34,MATCH($J19,SANPHAM!$A$5:$A$34,0)),""))</f>
        <v/>
      </c>
      <c r="L19" s="55" t="str">
        <f t="shared" si="1"/>
        <v/>
      </c>
    </row>
    <row r="20" spans="1:12" ht="21.75" customHeight="1" x14ac:dyDescent="0.3">
      <c r="A20" s="49"/>
      <c r="B20" s="30"/>
      <c r="C20" s="42"/>
      <c r="D20" s="50"/>
      <c r="E20" s="51" t="str">
        <f t="shared" si="0"/>
        <v/>
      </c>
      <c r="F20" s="30"/>
      <c r="G20" s="29"/>
      <c r="H20" s="30"/>
      <c r="I20" s="55" t="str">
        <f>IF($B20="","",IF(COUNTIF(SANPHAM!$D$5:$D$34,$B20)&gt;0,$B20,IFERROR(INDEX(SANPHAM!$D$5:$D$34,MATCH($B20,SANPHAM!$A$5:$A$34,0)),"?")))</f>
        <v/>
      </c>
      <c r="J20" s="56" t="str">
        <f>IF($B20="","",IF(COUNTIF(SANPHAM!$A$5:$A$34,$B20)&gt;0,$B20,IFERROR(INDEX(SANPHAM!$A$5:$A$34,MATCH($B20,SANPHAM!$D$5:$D$34,0)),"Không tìm thấy — kiểm tra mã/tên")))</f>
        <v/>
      </c>
      <c r="K20" s="57" t="str">
        <f>IF($J20="","",IFERROR(INDEX(SANPHAM!$C$5:$C$34,MATCH($J20,SANPHAM!$A$5:$A$34,0)),""))</f>
        <v/>
      </c>
      <c r="L20" s="55" t="str">
        <f t="shared" si="1"/>
        <v/>
      </c>
    </row>
    <row r="21" spans="1:12" ht="21.75" customHeight="1" x14ac:dyDescent="0.3">
      <c r="A21" s="49"/>
      <c r="B21" s="30"/>
      <c r="C21" s="42"/>
      <c r="D21" s="50"/>
      <c r="E21" s="51" t="str">
        <f t="shared" si="0"/>
        <v/>
      </c>
      <c r="F21" s="30"/>
      <c r="G21" s="29"/>
      <c r="H21" s="30"/>
      <c r="I21" s="55" t="str">
        <f>IF($B21="","",IF(COUNTIF(SANPHAM!$D$5:$D$34,$B21)&gt;0,$B21,IFERROR(INDEX(SANPHAM!$D$5:$D$34,MATCH($B21,SANPHAM!$A$5:$A$34,0)),"?")))</f>
        <v/>
      </c>
      <c r="J21" s="56" t="str">
        <f>IF($B21="","",IF(COUNTIF(SANPHAM!$A$5:$A$34,$B21)&gt;0,$B21,IFERROR(INDEX(SANPHAM!$A$5:$A$34,MATCH($B21,SANPHAM!$D$5:$D$34,0)),"Không tìm thấy — kiểm tra mã/tên")))</f>
        <v/>
      </c>
      <c r="K21" s="57" t="str">
        <f>IF($J21="","",IFERROR(INDEX(SANPHAM!$C$5:$C$34,MATCH($J21,SANPHAM!$A$5:$A$34,0)),""))</f>
        <v/>
      </c>
      <c r="L21" s="55" t="str">
        <f t="shared" si="1"/>
        <v/>
      </c>
    </row>
    <row r="22" spans="1:12" ht="21.75" customHeight="1" x14ac:dyDescent="0.3">
      <c r="A22" s="49"/>
      <c r="B22" s="30"/>
      <c r="C22" s="42"/>
      <c r="D22" s="50"/>
      <c r="E22" s="51" t="str">
        <f t="shared" si="0"/>
        <v/>
      </c>
      <c r="F22" s="30"/>
      <c r="G22" s="29"/>
      <c r="H22" s="30"/>
      <c r="I22" s="55" t="str">
        <f>IF($B22="","",IF(COUNTIF(SANPHAM!$D$5:$D$34,$B22)&gt;0,$B22,IFERROR(INDEX(SANPHAM!$D$5:$D$34,MATCH($B22,SANPHAM!$A$5:$A$34,0)),"?")))</f>
        <v/>
      </c>
      <c r="J22" s="56" t="str">
        <f>IF($B22="","",IF(COUNTIF(SANPHAM!$A$5:$A$34,$B22)&gt;0,$B22,IFERROR(INDEX(SANPHAM!$A$5:$A$34,MATCH($B22,SANPHAM!$D$5:$D$34,0)),"Không tìm thấy — kiểm tra mã/tên")))</f>
        <v/>
      </c>
      <c r="K22" s="57" t="str">
        <f>IF($J22="","",IFERROR(INDEX(SANPHAM!$C$5:$C$34,MATCH($J22,SANPHAM!$A$5:$A$34,0)),""))</f>
        <v/>
      </c>
      <c r="L22" s="55" t="str">
        <f t="shared" si="1"/>
        <v/>
      </c>
    </row>
    <row r="23" spans="1:12" ht="21.75" customHeight="1" x14ac:dyDescent="0.3">
      <c r="A23" s="49"/>
      <c r="B23" s="30"/>
      <c r="C23" s="42"/>
      <c r="D23" s="50"/>
      <c r="E23" s="51" t="str">
        <f t="shared" si="0"/>
        <v/>
      </c>
      <c r="F23" s="30"/>
      <c r="G23" s="29"/>
      <c r="H23" s="30"/>
      <c r="I23" s="55" t="str">
        <f>IF($B23="","",IF(COUNTIF(SANPHAM!$D$5:$D$34,$B23)&gt;0,$B23,IFERROR(INDEX(SANPHAM!$D$5:$D$34,MATCH($B23,SANPHAM!$A$5:$A$34,0)),"?")))</f>
        <v/>
      </c>
      <c r="J23" s="56" t="str">
        <f>IF($B23="","",IF(COUNTIF(SANPHAM!$A$5:$A$34,$B23)&gt;0,$B23,IFERROR(INDEX(SANPHAM!$A$5:$A$34,MATCH($B23,SANPHAM!$D$5:$D$34,0)),"Không tìm thấy — kiểm tra mã/tên")))</f>
        <v/>
      </c>
      <c r="K23" s="57" t="str">
        <f>IF($J23="","",IFERROR(INDEX(SANPHAM!$C$5:$C$34,MATCH($J23,SANPHAM!$A$5:$A$34,0)),""))</f>
        <v/>
      </c>
      <c r="L23" s="55" t="str">
        <f t="shared" si="1"/>
        <v/>
      </c>
    </row>
    <row r="24" spans="1:12" ht="21.75" customHeight="1" x14ac:dyDescent="0.3">
      <c r="A24" s="49"/>
      <c r="B24" s="30"/>
      <c r="C24" s="42"/>
      <c r="D24" s="50"/>
      <c r="E24" s="51" t="str">
        <f t="shared" si="0"/>
        <v/>
      </c>
      <c r="F24" s="30"/>
      <c r="G24" s="29"/>
      <c r="H24" s="30"/>
      <c r="I24" s="55" t="str">
        <f>IF($B24="","",IF(COUNTIF(SANPHAM!$D$5:$D$34,$B24)&gt;0,$B24,IFERROR(INDEX(SANPHAM!$D$5:$D$34,MATCH($B24,SANPHAM!$A$5:$A$34,0)),"?")))</f>
        <v/>
      </c>
      <c r="J24" s="56" t="str">
        <f>IF($B24="","",IF(COUNTIF(SANPHAM!$A$5:$A$34,$B24)&gt;0,$B24,IFERROR(INDEX(SANPHAM!$A$5:$A$34,MATCH($B24,SANPHAM!$D$5:$D$34,0)),"Không tìm thấy — kiểm tra mã/tên")))</f>
        <v/>
      </c>
      <c r="K24" s="57" t="str">
        <f>IF($J24="","",IFERROR(INDEX(SANPHAM!$C$5:$C$34,MATCH($J24,SANPHAM!$A$5:$A$34,0)),""))</f>
        <v/>
      </c>
      <c r="L24" s="55" t="str">
        <f t="shared" si="1"/>
        <v/>
      </c>
    </row>
    <row r="25" spans="1:12" ht="21.75" customHeight="1" x14ac:dyDescent="0.3">
      <c r="A25" s="49"/>
      <c r="B25" s="30"/>
      <c r="C25" s="42"/>
      <c r="D25" s="50"/>
      <c r="E25" s="51" t="str">
        <f t="shared" si="0"/>
        <v/>
      </c>
      <c r="F25" s="30"/>
      <c r="G25" s="29"/>
      <c r="H25" s="30"/>
      <c r="I25" s="55" t="str">
        <f>IF($B25="","",IF(COUNTIF(SANPHAM!$D$5:$D$34,$B25)&gt;0,$B25,IFERROR(INDEX(SANPHAM!$D$5:$D$34,MATCH($B25,SANPHAM!$A$5:$A$34,0)),"?")))</f>
        <v/>
      </c>
      <c r="J25" s="56" t="str">
        <f>IF($B25="","",IF(COUNTIF(SANPHAM!$A$5:$A$34,$B25)&gt;0,$B25,IFERROR(INDEX(SANPHAM!$A$5:$A$34,MATCH($B25,SANPHAM!$D$5:$D$34,0)),"Không tìm thấy — kiểm tra mã/tên")))</f>
        <v/>
      </c>
      <c r="K25" s="57" t="str">
        <f>IF($J25="","",IFERROR(INDEX(SANPHAM!$C$5:$C$34,MATCH($J25,SANPHAM!$A$5:$A$34,0)),""))</f>
        <v/>
      </c>
      <c r="L25" s="55" t="str">
        <f t="shared" si="1"/>
        <v/>
      </c>
    </row>
    <row r="26" spans="1:12" ht="21.75" customHeight="1" x14ac:dyDescent="0.3">
      <c r="A26" s="49"/>
      <c r="B26" s="30"/>
      <c r="C26" s="42"/>
      <c r="D26" s="50"/>
      <c r="E26" s="51" t="str">
        <f t="shared" si="0"/>
        <v/>
      </c>
      <c r="F26" s="30"/>
      <c r="G26" s="29"/>
      <c r="H26" s="30"/>
      <c r="I26" s="55" t="str">
        <f>IF($B26="","",IF(COUNTIF(SANPHAM!$D$5:$D$34,$B26)&gt;0,$B26,IFERROR(INDEX(SANPHAM!$D$5:$D$34,MATCH($B26,SANPHAM!$A$5:$A$34,0)),"?")))</f>
        <v/>
      </c>
      <c r="J26" s="56" t="str">
        <f>IF($B26="","",IF(COUNTIF(SANPHAM!$A$5:$A$34,$B26)&gt;0,$B26,IFERROR(INDEX(SANPHAM!$A$5:$A$34,MATCH($B26,SANPHAM!$D$5:$D$34,0)),"Không tìm thấy — kiểm tra mã/tên")))</f>
        <v/>
      </c>
      <c r="K26" s="57" t="str">
        <f>IF($J26="","",IFERROR(INDEX(SANPHAM!$C$5:$C$34,MATCH($J26,SANPHAM!$A$5:$A$34,0)),""))</f>
        <v/>
      </c>
      <c r="L26" s="55" t="str">
        <f t="shared" si="1"/>
        <v/>
      </c>
    </row>
    <row r="27" spans="1:12" ht="21.75" customHeight="1" x14ac:dyDescent="0.3">
      <c r="A27" s="49"/>
      <c r="B27" s="30"/>
      <c r="C27" s="42"/>
      <c r="D27" s="50"/>
      <c r="E27" s="51" t="str">
        <f t="shared" si="0"/>
        <v/>
      </c>
      <c r="F27" s="30"/>
      <c r="G27" s="29"/>
      <c r="H27" s="30"/>
      <c r="I27" s="55" t="str">
        <f>IF($B27="","",IF(COUNTIF(SANPHAM!$D$5:$D$34,$B27)&gt;0,$B27,IFERROR(INDEX(SANPHAM!$D$5:$D$34,MATCH($B27,SANPHAM!$A$5:$A$34,0)),"?")))</f>
        <v/>
      </c>
      <c r="J27" s="56" t="str">
        <f>IF($B27="","",IF(COUNTIF(SANPHAM!$A$5:$A$34,$B27)&gt;0,$B27,IFERROR(INDEX(SANPHAM!$A$5:$A$34,MATCH($B27,SANPHAM!$D$5:$D$34,0)),"Không tìm thấy — kiểm tra mã/tên")))</f>
        <v/>
      </c>
      <c r="K27" s="57" t="str">
        <f>IF($J27="","",IFERROR(INDEX(SANPHAM!$C$5:$C$34,MATCH($J27,SANPHAM!$A$5:$A$34,0)),""))</f>
        <v/>
      </c>
      <c r="L27" s="55" t="str">
        <f t="shared" si="1"/>
        <v/>
      </c>
    </row>
    <row r="28" spans="1:12" ht="21.75" customHeight="1" x14ac:dyDescent="0.3">
      <c r="A28" s="49"/>
      <c r="B28" s="30"/>
      <c r="C28" s="42"/>
      <c r="D28" s="50"/>
      <c r="E28" s="51" t="str">
        <f t="shared" si="0"/>
        <v/>
      </c>
      <c r="F28" s="30"/>
      <c r="G28" s="29"/>
      <c r="H28" s="30"/>
      <c r="I28" s="55" t="str">
        <f>IF($B28="","",IF(COUNTIF(SANPHAM!$D$5:$D$34,$B28)&gt;0,$B28,IFERROR(INDEX(SANPHAM!$D$5:$D$34,MATCH($B28,SANPHAM!$A$5:$A$34,0)),"?")))</f>
        <v/>
      </c>
      <c r="J28" s="56" t="str">
        <f>IF($B28="","",IF(COUNTIF(SANPHAM!$A$5:$A$34,$B28)&gt;0,$B28,IFERROR(INDEX(SANPHAM!$A$5:$A$34,MATCH($B28,SANPHAM!$D$5:$D$34,0)),"Không tìm thấy — kiểm tra mã/tên")))</f>
        <v/>
      </c>
      <c r="K28" s="57" t="str">
        <f>IF($J28="","",IFERROR(INDEX(SANPHAM!$C$5:$C$34,MATCH($J28,SANPHAM!$A$5:$A$34,0)),""))</f>
        <v/>
      </c>
      <c r="L28" s="55" t="str">
        <f t="shared" si="1"/>
        <v/>
      </c>
    </row>
    <row r="29" spans="1:12" ht="21.75" customHeight="1" x14ac:dyDescent="0.3">
      <c r="A29" s="49"/>
      <c r="B29" s="30"/>
      <c r="C29" s="42"/>
      <c r="D29" s="50"/>
      <c r="E29" s="51" t="str">
        <f t="shared" si="0"/>
        <v/>
      </c>
      <c r="F29" s="30"/>
      <c r="G29" s="29"/>
      <c r="H29" s="30"/>
      <c r="I29" s="55" t="str">
        <f>IF($B29="","",IF(COUNTIF(SANPHAM!$D$5:$D$34,$B29)&gt;0,$B29,IFERROR(INDEX(SANPHAM!$D$5:$D$34,MATCH($B29,SANPHAM!$A$5:$A$34,0)),"?")))</f>
        <v/>
      </c>
      <c r="J29" s="56" t="str">
        <f>IF($B29="","",IF(COUNTIF(SANPHAM!$A$5:$A$34,$B29)&gt;0,$B29,IFERROR(INDEX(SANPHAM!$A$5:$A$34,MATCH($B29,SANPHAM!$D$5:$D$34,0)),"Không tìm thấy — kiểm tra mã/tên")))</f>
        <v/>
      </c>
      <c r="K29" s="57" t="str">
        <f>IF($J29="","",IFERROR(INDEX(SANPHAM!$C$5:$C$34,MATCH($J29,SANPHAM!$A$5:$A$34,0)),""))</f>
        <v/>
      </c>
      <c r="L29" s="55" t="str">
        <f t="shared" si="1"/>
        <v/>
      </c>
    </row>
    <row r="30" spans="1:12" ht="21.75" customHeight="1" x14ac:dyDescent="0.3">
      <c r="A30" s="49"/>
      <c r="B30" s="30"/>
      <c r="C30" s="42"/>
      <c r="D30" s="50"/>
      <c r="E30" s="51" t="str">
        <f t="shared" si="0"/>
        <v/>
      </c>
      <c r="F30" s="30"/>
      <c r="G30" s="29"/>
      <c r="H30" s="30"/>
      <c r="I30" s="55" t="str">
        <f>IF($B30="","",IF(COUNTIF(SANPHAM!$D$5:$D$34,$B30)&gt;0,$B30,IFERROR(INDEX(SANPHAM!$D$5:$D$34,MATCH($B30,SANPHAM!$A$5:$A$34,0)),"?")))</f>
        <v/>
      </c>
      <c r="J30" s="56" t="str">
        <f>IF($B30="","",IF(COUNTIF(SANPHAM!$A$5:$A$34,$B30)&gt;0,$B30,IFERROR(INDEX(SANPHAM!$A$5:$A$34,MATCH($B30,SANPHAM!$D$5:$D$34,0)),"Không tìm thấy — kiểm tra mã/tên")))</f>
        <v/>
      </c>
      <c r="K30" s="57" t="str">
        <f>IF($J30="","",IFERROR(INDEX(SANPHAM!$C$5:$C$34,MATCH($J30,SANPHAM!$A$5:$A$34,0)),""))</f>
        <v/>
      </c>
      <c r="L30" s="55" t="str">
        <f t="shared" si="1"/>
        <v/>
      </c>
    </row>
    <row r="31" spans="1:12" ht="21.75" customHeight="1" x14ac:dyDescent="0.3">
      <c r="A31" s="49"/>
      <c r="B31" s="30"/>
      <c r="C31" s="42"/>
      <c r="D31" s="50"/>
      <c r="E31" s="51" t="str">
        <f t="shared" si="0"/>
        <v/>
      </c>
      <c r="F31" s="30"/>
      <c r="G31" s="29"/>
      <c r="H31" s="30"/>
      <c r="I31" s="55" t="str">
        <f>IF($B31="","",IF(COUNTIF(SANPHAM!$D$5:$D$34,$B31)&gt;0,$B31,IFERROR(INDEX(SANPHAM!$D$5:$D$34,MATCH($B31,SANPHAM!$A$5:$A$34,0)),"?")))</f>
        <v/>
      </c>
      <c r="J31" s="56" t="str">
        <f>IF($B31="","",IF(COUNTIF(SANPHAM!$A$5:$A$34,$B31)&gt;0,$B31,IFERROR(INDEX(SANPHAM!$A$5:$A$34,MATCH($B31,SANPHAM!$D$5:$D$34,0)),"Không tìm thấy — kiểm tra mã/tên")))</f>
        <v/>
      </c>
      <c r="K31" s="57" t="str">
        <f>IF($J31="","",IFERROR(INDEX(SANPHAM!$C$5:$C$34,MATCH($J31,SANPHAM!$A$5:$A$34,0)),""))</f>
        <v/>
      </c>
      <c r="L31" s="55" t="str">
        <f t="shared" si="1"/>
        <v/>
      </c>
    </row>
    <row r="32" spans="1:12" ht="21.75" customHeight="1" x14ac:dyDescent="0.3">
      <c r="A32" s="49"/>
      <c r="B32" s="30"/>
      <c r="C32" s="42"/>
      <c r="D32" s="50"/>
      <c r="E32" s="51" t="str">
        <f t="shared" si="0"/>
        <v/>
      </c>
      <c r="F32" s="30"/>
      <c r="G32" s="29"/>
      <c r="H32" s="30"/>
      <c r="I32" s="55" t="str">
        <f>IF($B32="","",IF(COUNTIF(SANPHAM!$D$5:$D$34,$B32)&gt;0,$B32,IFERROR(INDEX(SANPHAM!$D$5:$D$34,MATCH($B32,SANPHAM!$A$5:$A$34,0)),"?")))</f>
        <v/>
      </c>
      <c r="J32" s="56" t="str">
        <f>IF($B32="","",IF(COUNTIF(SANPHAM!$A$5:$A$34,$B32)&gt;0,$B32,IFERROR(INDEX(SANPHAM!$A$5:$A$34,MATCH($B32,SANPHAM!$D$5:$D$34,0)),"Không tìm thấy — kiểm tra mã/tên")))</f>
        <v/>
      </c>
      <c r="K32" s="57" t="str">
        <f>IF($J32="","",IFERROR(INDEX(SANPHAM!$C$5:$C$34,MATCH($J32,SANPHAM!$A$5:$A$34,0)),""))</f>
        <v/>
      </c>
      <c r="L32" s="55" t="str">
        <f t="shared" si="1"/>
        <v/>
      </c>
    </row>
    <row r="33" spans="1:12" ht="21.75" customHeight="1" x14ac:dyDescent="0.3">
      <c r="A33" s="49"/>
      <c r="B33" s="30"/>
      <c r="C33" s="42"/>
      <c r="D33" s="50"/>
      <c r="E33" s="51" t="str">
        <f t="shared" si="0"/>
        <v/>
      </c>
      <c r="F33" s="30"/>
      <c r="G33" s="29"/>
      <c r="H33" s="30"/>
      <c r="I33" s="55" t="str">
        <f>IF($B33="","",IF(COUNTIF(SANPHAM!$D$5:$D$34,$B33)&gt;0,$B33,IFERROR(INDEX(SANPHAM!$D$5:$D$34,MATCH($B33,SANPHAM!$A$5:$A$34,0)),"?")))</f>
        <v/>
      </c>
      <c r="J33" s="56" t="str">
        <f>IF($B33="","",IF(COUNTIF(SANPHAM!$A$5:$A$34,$B33)&gt;0,$B33,IFERROR(INDEX(SANPHAM!$A$5:$A$34,MATCH($B33,SANPHAM!$D$5:$D$34,0)),"Không tìm thấy — kiểm tra mã/tên")))</f>
        <v/>
      </c>
      <c r="K33" s="57" t="str">
        <f>IF($J33="","",IFERROR(INDEX(SANPHAM!$C$5:$C$34,MATCH($J33,SANPHAM!$A$5:$A$34,0)),""))</f>
        <v/>
      </c>
      <c r="L33" s="55" t="str">
        <f t="shared" si="1"/>
        <v/>
      </c>
    </row>
    <row r="34" spans="1:12" ht="21.75" customHeight="1" x14ac:dyDescent="0.3">
      <c r="A34" s="49"/>
      <c r="B34" s="30"/>
      <c r="C34" s="42"/>
      <c r="D34" s="50"/>
      <c r="E34" s="51" t="str">
        <f t="shared" si="0"/>
        <v/>
      </c>
      <c r="F34" s="30"/>
      <c r="G34" s="29"/>
      <c r="H34" s="30"/>
      <c r="I34" s="55" t="str">
        <f>IF($B34="","",IF(COUNTIF(SANPHAM!$D$5:$D$34,$B34)&gt;0,$B34,IFERROR(INDEX(SANPHAM!$D$5:$D$34,MATCH($B34,SANPHAM!$A$5:$A$34,0)),"?")))</f>
        <v/>
      </c>
      <c r="J34" s="56" t="str">
        <f>IF($B34="","",IF(COUNTIF(SANPHAM!$A$5:$A$34,$B34)&gt;0,$B34,IFERROR(INDEX(SANPHAM!$A$5:$A$34,MATCH($B34,SANPHAM!$D$5:$D$34,0)),"Không tìm thấy — kiểm tra mã/tên")))</f>
        <v/>
      </c>
      <c r="K34" s="57" t="str">
        <f>IF($J34="","",IFERROR(INDEX(SANPHAM!$C$5:$C$34,MATCH($J34,SANPHAM!$A$5:$A$34,0)),""))</f>
        <v/>
      </c>
      <c r="L34" s="55" t="str">
        <f t="shared" si="1"/>
        <v/>
      </c>
    </row>
    <row r="35" spans="1:12" ht="21.75" customHeight="1" x14ac:dyDescent="0.3">
      <c r="A35" s="49"/>
      <c r="B35" s="30"/>
      <c r="C35" s="42"/>
      <c r="D35" s="50"/>
      <c r="E35" s="51" t="str">
        <f t="shared" si="0"/>
        <v/>
      </c>
      <c r="F35" s="30"/>
      <c r="G35" s="29"/>
      <c r="H35" s="30"/>
      <c r="I35" s="55" t="str">
        <f>IF($B35="","",IF(COUNTIF(SANPHAM!$D$5:$D$34,$B35)&gt;0,$B35,IFERROR(INDEX(SANPHAM!$D$5:$D$34,MATCH($B35,SANPHAM!$A$5:$A$34,0)),"?")))</f>
        <v/>
      </c>
      <c r="J35" s="56" t="str">
        <f>IF($B35="","",IF(COUNTIF(SANPHAM!$A$5:$A$34,$B35)&gt;0,$B35,IFERROR(INDEX(SANPHAM!$A$5:$A$34,MATCH($B35,SANPHAM!$D$5:$D$34,0)),"Không tìm thấy — kiểm tra mã/tên")))</f>
        <v/>
      </c>
      <c r="K35" s="57" t="str">
        <f>IF($J35="","",IFERROR(INDEX(SANPHAM!$C$5:$C$34,MATCH($J35,SANPHAM!$A$5:$A$34,0)),""))</f>
        <v/>
      </c>
      <c r="L35" s="55" t="str">
        <f t="shared" si="1"/>
        <v/>
      </c>
    </row>
    <row r="36" spans="1:12" ht="21.75" customHeight="1" x14ac:dyDescent="0.3">
      <c r="A36" s="49"/>
      <c r="B36" s="30"/>
      <c r="C36" s="42"/>
      <c r="D36" s="50"/>
      <c r="E36" s="51" t="str">
        <f t="shared" si="0"/>
        <v/>
      </c>
      <c r="F36" s="30"/>
      <c r="G36" s="29"/>
      <c r="H36" s="30"/>
      <c r="I36" s="55" t="str">
        <f>IF($B36="","",IF(COUNTIF(SANPHAM!$D$5:$D$34,$B36)&gt;0,$B36,IFERROR(INDEX(SANPHAM!$D$5:$D$34,MATCH($B36,SANPHAM!$A$5:$A$34,0)),"?")))</f>
        <v/>
      </c>
      <c r="J36" s="56" t="str">
        <f>IF($B36="","",IF(COUNTIF(SANPHAM!$A$5:$A$34,$B36)&gt;0,$B36,IFERROR(INDEX(SANPHAM!$A$5:$A$34,MATCH($B36,SANPHAM!$D$5:$D$34,0)),"Không tìm thấy — kiểm tra mã/tên")))</f>
        <v/>
      </c>
      <c r="K36" s="57" t="str">
        <f>IF($J36="","",IFERROR(INDEX(SANPHAM!$C$5:$C$34,MATCH($J36,SANPHAM!$A$5:$A$34,0)),""))</f>
        <v/>
      </c>
      <c r="L36" s="55" t="str">
        <f t="shared" si="1"/>
        <v/>
      </c>
    </row>
    <row r="37" spans="1:12" ht="21.75" customHeight="1" x14ac:dyDescent="0.3">
      <c r="A37" s="49"/>
      <c r="B37" s="30"/>
      <c r="C37" s="42"/>
      <c r="D37" s="50"/>
      <c r="E37" s="51" t="str">
        <f t="shared" si="0"/>
        <v/>
      </c>
      <c r="F37" s="30"/>
      <c r="G37" s="29"/>
      <c r="H37" s="30"/>
      <c r="I37" s="55" t="str">
        <f>IF($B37="","",IF(COUNTIF(SANPHAM!$D$5:$D$34,$B37)&gt;0,$B37,IFERROR(INDEX(SANPHAM!$D$5:$D$34,MATCH($B37,SANPHAM!$A$5:$A$34,0)),"?")))</f>
        <v/>
      </c>
      <c r="J37" s="56" t="str">
        <f>IF($B37="","",IF(COUNTIF(SANPHAM!$A$5:$A$34,$B37)&gt;0,$B37,IFERROR(INDEX(SANPHAM!$A$5:$A$34,MATCH($B37,SANPHAM!$D$5:$D$34,0)),"Không tìm thấy — kiểm tra mã/tên")))</f>
        <v/>
      </c>
      <c r="K37" s="57" t="str">
        <f>IF($J37="","",IFERROR(INDEX(SANPHAM!$C$5:$C$34,MATCH($J37,SANPHAM!$A$5:$A$34,0)),""))</f>
        <v/>
      </c>
      <c r="L37" s="55" t="str">
        <f t="shared" si="1"/>
        <v/>
      </c>
    </row>
    <row r="38" spans="1:12" ht="21.75" customHeight="1" x14ac:dyDescent="0.3">
      <c r="A38" s="49"/>
      <c r="B38" s="30"/>
      <c r="C38" s="42"/>
      <c r="D38" s="50"/>
      <c r="E38" s="51" t="str">
        <f t="shared" si="0"/>
        <v/>
      </c>
      <c r="F38" s="30"/>
      <c r="G38" s="29"/>
      <c r="H38" s="30"/>
      <c r="I38" s="55" t="str">
        <f>IF($B38="","",IF(COUNTIF(SANPHAM!$D$5:$D$34,$B38)&gt;0,$B38,IFERROR(INDEX(SANPHAM!$D$5:$D$34,MATCH($B38,SANPHAM!$A$5:$A$34,0)),"?")))</f>
        <v/>
      </c>
      <c r="J38" s="56" t="str">
        <f>IF($B38="","",IF(COUNTIF(SANPHAM!$A$5:$A$34,$B38)&gt;0,$B38,IFERROR(INDEX(SANPHAM!$A$5:$A$34,MATCH($B38,SANPHAM!$D$5:$D$34,0)),"Không tìm thấy — kiểm tra mã/tên")))</f>
        <v/>
      </c>
      <c r="K38" s="57" t="str">
        <f>IF($J38="","",IFERROR(INDEX(SANPHAM!$C$5:$C$34,MATCH($J38,SANPHAM!$A$5:$A$34,0)),""))</f>
        <v/>
      </c>
      <c r="L38" s="55" t="str">
        <f t="shared" si="1"/>
        <v/>
      </c>
    </row>
    <row r="39" spans="1:12" ht="21.75" customHeight="1" x14ac:dyDescent="0.3">
      <c r="A39" s="49"/>
      <c r="B39" s="30"/>
      <c r="C39" s="42"/>
      <c r="D39" s="50"/>
      <c r="E39" s="51" t="str">
        <f t="shared" si="0"/>
        <v/>
      </c>
      <c r="F39" s="30"/>
      <c r="G39" s="29"/>
      <c r="H39" s="30"/>
      <c r="I39" s="55" t="str">
        <f>IF($B39="","",IF(COUNTIF(SANPHAM!$D$5:$D$34,$B39)&gt;0,$B39,IFERROR(INDEX(SANPHAM!$D$5:$D$34,MATCH($B39,SANPHAM!$A$5:$A$34,0)),"?")))</f>
        <v/>
      </c>
      <c r="J39" s="56" t="str">
        <f>IF($B39="","",IF(COUNTIF(SANPHAM!$A$5:$A$34,$B39)&gt;0,$B39,IFERROR(INDEX(SANPHAM!$A$5:$A$34,MATCH($B39,SANPHAM!$D$5:$D$34,0)),"Không tìm thấy — kiểm tra mã/tên")))</f>
        <v/>
      </c>
      <c r="K39" s="57" t="str">
        <f>IF($J39="","",IFERROR(INDEX(SANPHAM!$C$5:$C$34,MATCH($J39,SANPHAM!$A$5:$A$34,0)),""))</f>
        <v/>
      </c>
      <c r="L39" s="55" t="str">
        <f t="shared" si="1"/>
        <v/>
      </c>
    </row>
    <row r="40" spans="1:12" ht="21.75" customHeight="1" x14ac:dyDescent="0.3">
      <c r="A40" s="49"/>
      <c r="B40" s="30"/>
      <c r="C40" s="42"/>
      <c r="D40" s="50"/>
      <c r="E40" s="51" t="str">
        <f t="shared" si="0"/>
        <v/>
      </c>
      <c r="F40" s="30"/>
      <c r="G40" s="29"/>
      <c r="H40" s="30"/>
      <c r="I40" s="55" t="str">
        <f>IF($B40="","",IF(COUNTIF(SANPHAM!$D$5:$D$34,$B40)&gt;0,$B40,IFERROR(INDEX(SANPHAM!$D$5:$D$34,MATCH($B40,SANPHAM!$A$5:$A$34,0)),"?")))</f>
        <v/>
      </c>
      <c r="J40" s="56" t="str">
        <f>IF($B40="","",IF(COUNTIF(SANPHAM!$A$5:$A$34,$B40)&gt;0,$B40,IFERROR(INDEX(SANPHAM!$A$5:$A$34,MATCH($B40,SANPHAM!$D$5:$D$34,0)),"Không tìm thấy — kiểm tra mã/tên")))</f>
        <v/>
      </c>
      <c r="K40" s="57" t="str">
        <f>IF($J40="","",IFERROR(INDEX(SANPHAM!$C$5:$C$34,MATCH($J40,SANPHAM!$A$5:$A$34,0)),""))</f>
        <v/>
      </c>
      <c r="L40" s="55" t="str">
        <f t="shared" si="1"/>
        <v/>
      </c>
    </row>
    <row r="41" spans="1:12" ht="21.75" customHeight="1" x14ac:dyDescent="0.3">
      <c r="A41" s="49"/>
      <c r="B41" s="30"/>
      <c r="C41" s="42"/>
      <c r="D41" s="50"/>
      <c r="E41" s="51" t="str">
        <f t="shared" si="0"/>
        <v/>
      </c>
      <c r="F41" s="30"/>
      <c r="G41" s="29"/>
      <c r="H41" s="30"/>
      <c r="I41" s="55" t="str">
        <f>IF($B41="","",IF(COUNTIF(SANPHAM!$D$5:$D$34,$B41)&gt;0,$B41,IFERROR(INDEX(SANPHAM!$D$5:$D$34,MATCH($B41,SANPHAM!$A$5:$A$34,0)),"?")))</f>
        <v/>
      </c>
      <c r="J41" s="56" t="str">
        <f>IF($B41="","",IF(COUNTIF(SANPHAM!$A$5:$A$34,$B41)&gt;0,$B41,IFERROR(INDEX(SANPHAM!$A$5:$A$34,MATCH($B41,SANPHAM!$D$5:$D$34,0)),"Không tìm thấy — kiểm tra mã/tên")))</f>
        <v/>
      </c>
      <c r="K41" s="57" t="str">
        <f>IF($J41="","",IFERROR(INDEX(SANPHAM!$C$5:$C$34,MATCH($J41,SANPHAM!$A$5:$A$34,0)),""))</f>
        <v/>
      </c>
      <c r="L41" s="55" t="str">
        <f t="shared" si="1"/>
        <v/>
      </c>
    </row>
    <row r="42" spans="1:12" ht="21.75" customHeight="1" x14ac:dyDescent="0.3">
      <c r="A42" s="49"/>
      <c r="B42" s="30"/>
      <c r="C42" s="42"/>
      <c r="D42" s="50"/>
      <c r="E42" s="51" t="str">
        <f t="shared" si="0"/>
        <v/>
      </c>
      <c r="F42" s="30"/>
      <c r="G42" s="29"/>
      <c r="H42" s="30"/>
      <c r="I42" s="55" t="str">
        <f>IF($B42="","",IF(COUNTIF(SANPHAM!$D$5:$D$34,$B42)&gt;0,$B42,IFERROR(INDEX(SANPHAM!$D$5:$D$34,MATCH($B42,SANPHAM!$A$5:$A$34,0)),"?")))</f>
        <v/>
      </c>
      <c r="J42" s="56" t="str">
        <f>IF($B42="","",IF(COUNTIF(SANPHAM!$A$5:$A$34,$B42)&gt;0,$B42,IFERROR(INDEX(SANPHAM!$A$5:$A$34,MATCH($B42,SANPHAM!$D$5:$D$34,0)),"Không tìm thấy — kiểm tra mã/tên")))</f>
        <v/>
      </c>
      <c r="K42" s="57" t="str">
        <f>IF($J42="","",IFERROR(INDEX(SANPHAM!$C$5:$C$34,MATCH($J42,SANPHAM!$A$5:$A$34,0)),""))</f>
        <v/>
      </c>
      <c r="L42" s="55" t="str">
        <f t="shared" si="1"/>
        <v/>
      </c>
    </row>
    <row r="43" spans="1:12" ht="21.75" customHeight="1" x14ac:dyDescent="0.3">
      <c r="A43" s="49"/>
      <c r="B43" s="30"/>
      <c r="C43" s="42"/>
      <c r="D43" s="50"/>
      <c r="E43" s="51" t="str">
        <f t="shared" si="0"/>
        <v/>
      </c>
      <c r="F43" s="30"/>
      <c r="G43" s="29"/>
      <c r="H43" s="30"/>
      <c r="I43" s="55" t="str">
        <f>IF($B43="","",IF(COUNTIF(SANPHAM!$D$5:$D$34,$B43)&gt;0,$B43,IFERROR(INDEX(SANPHAM!$D$5:$D$34,MATCH($B43,SANPHAM!$A$5:$A$34,0)),"?")))</f>
        <v/>
      </c>
      <c r="J43" s="56" t="str">
        <f>IF($B43="","",IF(COUNTIF(SANPHAM!$A$5:$A$34,$B43)&gt;0,$B43,IFERROR(INDEX(SANPHAM!$A$5:$A$34,MATCH($B43,SANPHAM!$D$5:$D$34,0)),"Không tìm thấy — kiểm tra mã/tên")))</f>
        <v/>
      </c>
      <c r="K43" s="57" t="str">
        <f>IF($J43="","",IFERROR(INDEX(SANPHAM!$C$5:$C$34,MATCH($J43,SANPHAM!$A$5:$A$34,0)),""))</f>
        <v/>
      </c>
      <c r="L43" s="55" t="str">
        <f t="shared" si="1"/>
        <v/>
      </c>
    </row>
    <row r="44" spans="1:12" ht="15" customHeight="1" x14ac:dyDescent="0.3">
      <c r="A44" s="116" t="s">
        <v>328</v>
      </c>
      <c r="B44" s="116"/>
      <c r="C44" s="116"/>
      <c r="D44" s="116"/>
      <c r="E44" s="46">
        <f>SUM(E4:E43)</f>
        <v>600000</v>
      </c>
      <c r="F44" s="48"/>
      <c r="G44" s="48"/>
      <c r="H44" s="48"/>
    </row>
    <row r="45" spans="1:12" ht="15" customHeight="1" x14ac:dyDescent="0.3">
      <c r="A45" s="121" t="s">
        <v>329</v>
      </c>
      <c r="B45" s="121"/>
      <c r="C45" s="121"/>
      <c r="D45" s="121"/>
      <c r="E45" s="58">
        <f>SUMIF(G4:G43,"Chưa trả",E4:E43)</f>
        <v>180000</v>
      </c>
      <c r="F45" s="59"/>
      <c r="G45" s="59"/>
      <c r="H45" s="59"/>
    </row>
  </sheetData>
  <sheetProtection sheet="1" formatCells="0" formatColumns="0" formatRows="0" insertColumns="0" insertRows="0" deleteColumns="0" deleteRows="0" sort="0" autoFilter="0"/>
  <autoFilter ref="A3:H43" xr:uid="{00000000-0009-0000-0000-000007000000}"/>
  <mergeCells count="5">
    <mergeCell ref="A1:J1"/>
    <mergeCell ref="K1:L1"/>
    <mergeCell ref="A2:L2"/>
    <mergeCell ref="A44:D44"/>
    <mergeCell ref="A45:D45"/>
  </mergeCells>
  <conditionalFormatting sqref="G4:G43">
    <cfRule type="expression" dxfId="8" priority="2">
      <formula>$G4="Chưa trả"</formula>
    </cfRule>
    <cfRule type="expression" dxfId="7" priority="3">
      <formula>$G4="Đã trả"</formula>
    </cfRule>
  </conditionalFormatting>
  <conditionalFormatting sqref="J4:J43">
    <cfRule type="expression" dxfId="6" priority="4">
      <formula>ISNUMBER(SEARCH("Không tìm thấy",$J4))</formula>
    </cfRule>
  </conditionalFormatting>
  <dataValidations count="3">
    <dataValidation type="list" allowBlank="1" sqref="B4:B43" xr:uid="{00000000-0002-0000-0700-000000000000}">
      <formula1>DSSANPHAM</formula1>
      <formula2>0</formula2>
    </dataValidation>
    <dataValidation type="list" allowBlank="1" sqref="G4:G43" xr:uid="{00000000-0002-0000-0700-000001000000}">
      <formula1>"Đã trả,Chưa trả"</formula1>
      <formula2>0</formula2>
    </dataValidation>
    <dataValidation type="list" allowBlank="1" sqref="F4:F43" xr:uid="{00000000-0002-0000-0700-000002000000}">
      <formula1>DSNCC</formula1>
      <formula2>0</formula2>
    </dataValidation>
  </dataValidations>
  <hyperlinks>
    <hyperlink ref="K1" location="'MUC-LUC'!A1" display="« MỤC LỤC" xr:uid="{00000000-0004-0000-0700-000000000000}"/>
  </hyperlinks>
  <pageMargins left="0.75" right="0.75" top="1" bottom="1" header="0.511811023622047" footer="0.511811023622047"/>
  <pageSetup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70"/>
  <sheetViews>
    <sheetView showGridLines="0" zoomScaleNormal="100" workbookViewId="0">
      <pane ySplit="4" topLeftCell="A5" activePane="bottomLeft" state="frozen"/>
      <selection pane="bottomLeft" activeCell="L1" sqref="L1:M1"/>
    </sheetView>
  </sheetViews>
  <sheetFormatPr defaultColWidth="8.6640625" defaultRowHeight="14.4" x14ac:dyDescent="0.3"/>
  <cols>
    <col min="1" max="1" width="5" style="13" customWidth="1"/>
    <col min="2" max="2" width="24" style="13" customWidth="1"/>
    <col min="3" max="3" width="20" style="13" customWidth="1"/>
    <col min="4" max="4" width="18" style="13" customWidth="1"/>
    <col min="5" max="5" width="12" style="13" customWidth="1"/>
    <col min="6" max="7" width="15" style="13" customWidth="1"/>
    <col min="8" max="8" width="13" style="13" customWidth="1"/>
    <col min="9" max="9" width="12" style="13" customWidth="1"/>
    <col min="10" max="10" width="22" style="13" customWidth="1"/>
    <col min="12" max="12" width="13" style="13" customWidth="1"/>
  </cols>
  <sheetData>
    <row r="1" spans="1:13" ht="27.75" customHeight="1" x14ac:dyDescent="0.3">
      <c r="A1" s="12" t="s">
        <v>330</v>
      </c>
      <c r="B1" s="12"/>
      <c r="C1" s="12"/>
      <c r="D1" s="12"/>
      <c r="E1" s="12"/>
      <c r="F1" s="12"/>
      <c r="G1" s="12"/>
      <c r="H1" s="12"/>
      <c r="I1" s="12"/>
      <c r="J1" s="12"/>
      <c r="K1" s="14"/>
      <c r="L1" s="11" t="s">
        <v>1</v>
      </c>
      <c r="M1" s="11"/>
    </row>
    <row r="2" spans="1:13" ht="15" customHeight="1" x14ac:dyDescent="0.3">
      <c r="A2" s="95" t="s">
        <v>331</v>
      </c>
      <c r="B2" s="95"/>
      <c r="C2" s="95"/>
      <c r="D2" s="95"/>
      <c r="E2" s="95"/>
      <c r="F2" s="95"/>
      <c r="G2" s="95"/>
      <c r="H2" s="95"/>
      <c r="I2" s="95"/>
      <c r="J2" s="95"/>
      <c r="K2" s="14"/>
      <c r="L2" s="14"/>
      <c r="M2" s="14"/>
    </row>
    <row r="3" spans="1:13" ht="21.75" customHeight="1" x14ac:dyDescent="0.3">
      <c r="A3" s="9" t="s">
        <v>332</v>
      </c>
      <c r="B3" s="9"/>
      <c r="C3" s="9"/>
      <c r="D3" s="9"/>
      <c r="E3" s="9"/>
      <c r="F3" s="9"/>
      <c r="G3" s="9"/>
      <c r="H3" s="9"/>
      <c r="I3" s="9"/>
      <c r="J3" s="9"/>
      <c r="K3" s="14"/>
      <c r="L3" s="14"/>
      <c r="M3" s="14"/>
    </row>
    <row r="4" spans="1:13" ht="30" customHeight="1" x14ac:dyDescent="0.3">
      <c r="A4" s="25" t="s">
        <v>333</v>
      </c>
      <c r="B4" s="25" t="s">
        <v>334</v>
      </c>
      <c r="C4" s="25" t="s">
        <v>218</v>
      </c>
      <c r="D4" s="25" t="s">
        <v>335</v>
      </c>
      <c r="E4" s="25" t="s">
        <v>336</v>
      </c>
      <c r="F4" s="25" t="s">
        <v>337</v>
      </c>
      <c r="G4" s="25" t="s">
        <v>338</v>
      </c>
      <c r="H4" s="25" t="s">
        <v>339</v>
      </c>
      <c r="I4" s="25" t="s">
        <v>171</v>
      </c>
      <c r="J4" s="25" t="s">
        <v>179</v>
      </c>
      <c r="K4" s="14"/>
      <c r="L4" s="14"/>
      <c r="M4" s="14"/>
    </row>
    <row r="5" spans="1:13" ht="19.5" customHeight="1" x14ac:dyDescent="0.3">
      <c r="A5" s="29">
        <v>1</v>
      </c>
      <c r="B5" s="30" t="s">
        <v>340</v>
      </c>
      <c r="C5" s="30" t="s">
        <v>341</v>
      </c>
      <c r="D5" s="30"/>
      <c r="E5" s="29" t="s">
        <v>342</v>
      </c>
      <c r="F5" s="50">
        <v>0</v>
      </c>
      <c r="G5" s="51">
        <f t="shared" ref="G5:G18" si="0">IF(F5="","",IF(E5="Tháng",F5,IF(E5="Quý",F5/3,IF(E5="6 tháng",F5/6,IF(E5="Năm",F5/12,IF(E5="2 năm",F5/24,F5))))))</f>
        <v>0</v>
      </c>
      <c r="H5" s="29" t="s">
        <v>343</v>
      </c>
      <c r="I5" s="29"/>
      <c r="J5" s="30" t="s">
        <v>344</v>
      </c>
      <c r="K5" s="14"/>
      <c r="L5" s="14"/>
      <c r="M5" s="14"/>
    </row>
    <row r="6" spans="1:13" ht="19.5" customHeight="1" x14ac:dyDescent="0.3">
      <c r="A6" s="29">
        <v>2</v>
      </c>
      <c r="B6" s="30" t="s">
        <v>345</v>
      </c>
      <c r="C6" s="30" t="s">
        <v>346</v>
      </c>
      <c r="D6" s="30"/>
      <c r="E6" s="29" t="s">
        <v>342</v>
      </c>
      <c r="F6" s="50">
        <v>0</v>
      </c>
      <c r="G6" s="51">
        <f t="shared" si="0"/>
        <v>0</v>
      </c>
      <c r="H6" s="29"/>
      <c r="I6" s="29"/>
      <c r="J6" s="30"/>
      <c r="K6" s="14"/>
      <c r="L6" s="14"/>
      <c r="M6" s="14"/>
    </row>
    <row r="7" spans="1:13" ht="19.5" customHeight="1" x14ac:dyDescent="0.3">
      <c r="A7" s="29">
        <v>3</v>
      </c>
      <c r="B7" s="30" t="s">
        <v>347</v>
      </c>
      <c r="C7" s="30" t="s">
        <v>348</v>
      </c>
      <c r="D7" s="30"/>
      <c r="E7" s="29" t="s">
        <v>349</v>
      </c>
      <c r="F7" s="50">
        <v>350000</v>
      </c>
      <c r="G7" s="51">
        <f t="shared" si="0"/>
        <v>29166.666666666668</v>
      </c>
      <c r="H7" s="29"/>
      <c r="I7" s="29"/>
      <c r="J7" s="30"/>
      <c r="K7" s="14"/>
      <c r="L7" s="14"/>
      <c r="M7" s="14"/>
    </row>
    <row r="8" spans="1:13" ht="19.5" customHeight="1" x14ac:dyDescent="0.3">
      <c r="A8" s="29">
        <v>4</v>
      </c>
      <c r="B8" s="30" t="s">
        <v>350</v>
      </c>
      <c r="C8" s="30" t="s">
        <v>351</v>
      </c>
      <c r="D8" s="30"/>
      <c r="E8" s="29" t="s">
        <v>349</v>
      </c>
      <c r="F8" s="50">
        <v>108000</v>
      </c>
      <c r="G8" s="51">
        <f t="shared" si="0"/>
        <v>9000</v>
      </c>
      <c r="H8" s="29"/>
      <c r="I8" s="29"/>
      <c r="J8" s="30"/>
      <c r="K8" s="14"/>
      <c r="L8" s="14"/>
      <c r="M8" s="14"/>
    </row>
    <row r="9" spans="1:13" ht="19.5" customHeight="1" x14ac:dyDescent="0.3">
      <c r="A9" s="29">
        <v>5</v>
      </c>
      <c r="B9" s="30" t="s">
        <v>352</v>
      </c>
      <c r="C9" s="30" t="s">
        <v>353</v>
      </c>
      <c r="D9" s="30"/>
      <c r="E9" s="29" t="s">
        <v>342</v>
      </c>
      <c r="F9" s="50">
        <v>0</v>
      </c>
      <c r="G9" s="51">
        <f t="shared" si="0"/>
        <v>0</v>
      </c>
      <c r="H9" s="29"/>
      <c r="I9" s="29"/>
      <c r="J9" s="30"/>
      <c r="K9" s="14"/>
      <c r="L9" s="14"/>
      <c r="M9" s="14"/>
    </row>
    <row r="10" spans="1:13" ht="19.5" customHeight="1" x14ac:dyDescent="0.3">
      <c r="A10" s="29">
        <v>6</v>
      </c>
      <c r="B10" s="30" t="s">
        <v>354</v>
      </c>
      <c r="C10" s="30" t="s">
        <v>355</v>
      </c>
      <c r="D10" s="30"/>
      <c r="E10" s="29" t="s">
        <v>342</v>
      </c>
      <c r="F10" s="50">
        <v>0</v>
      </c>
      <c r="G10" s="51">
        <f t="shared" si="0"/>
        <v>0</v>
      </c>
      <c r="H10" s="29"/>
      <c r="I10" s="29"/>
      <c r="J10" s="30"/>
      <c r="K10" s="14"/>
      <c r="L10" s="14"/>
      <c r="M10" s="14"/>
    </row>
    <row r="11" spans="1:13" ht="19.5" customHeight="1" x14ac:dyDescent="0.3">
      <c r="A11" s="29">
        <v>7</v>
      </c>
      <c r="B11" s="30" t="s">
        <v>356</v>
      </c>
      <c r="C11" s="30"/>
      <c r="D11" s="30"/>
      <c r="E11" s="29" t="s">
        <v>349</v>
      </c>
      <c r="F11" s="50">
        <v>0</v>
      </c>
      <c r="G11" s="51">
        <f t="shared" si="0"/>
        <v>0</v>
      </c>
      <c r="H11" s="29"/>
      <c r="I11" s="29"/>
      <c r="J11" s="30"/>
      <c r="K11" s="14"/>
      <c r="L11" s="14"/>
      <c r="M11" s="14"/>
    </row>
    <row r="12" spans="1:13" ht="19.5" customHeight="1" x14ac:dyDescent="0.3">
      <c r="A12" s="29">
        <v>8</v>
      </c>
      <c r="B12" s="30" t="s">
        <v>357</v>
      </c>
      <c r="C12" s="30"/>
      <c r="D12" s="30"/>
      <c r="E12" s="29" t="s">
        <v>342</v>
      </c>
      <c r="F12" s="50">
        <v>100000</v>
      </c>
      <c r="G12" s="51">
        <f t="shared" si="0"/>
        <v>100000</v>
      </c>
      <c r="H12" s="29"/>
      <c r="I12" s="29"/>
      <c r="J12" s="30"/>
      <c r="K12" s="14"/>
      <c r="L12" s="14"/>
      <c r="M12" s="14"/>
    </row>
    <row r="13" spans="1:13" ht="19.5" customHeight="1" x14ac:dyDescent="0.3">
      <c r="A13" s="29">
        <v>9</v>
      </c>
      <c r="B13" s="30"/>
      <c r="C13" s="30"/>
      <c r="D13" s="30"/>
      <c r="E13" s="29"/>
      <c r="F13" s="50"/>
      <c r="G13" s="51" t="str">
        <f t="shared" si="0"/>
        <v/>
      </c>
      <c r="H13" s="29"/>
      <c r="I13" s="29"/>
      <c r="J13" s="30"/>
      <c r="K13" s="14"/>
      <c r="L13" s="14"/>
      <c r="M13" s="14"/>
    </row>
    <row r="14" spans="1:13" ht="19.5" customHeight="1" x14ac:dyDescent="0.3">
      <c r="A14" s="29">
        <v>10</v>
      </c>
      <c r="B14" s="30"/>
      <c r="C14" s="30"/>
      <c r="D14" s="30"/>
      <c r="E14" s="29"/>
      <c r="F14" s="50"/>
      <c r="G14" s="51" t="str">
        <f t="shared" si="0"/>
        <v/>
      </c>
      <c r="H14" s="29"/>
      <c r="I14" s="29"/>
      <c r="J14" s="30"/>
      <c r="K14" s="14"/>
      <c r="L14" s="14"/>
      <c r="M14" s="14"/>
    </row>
    <row r="15" spans="1:13" ht="19.5" customHeight="1" x14ac:dyDescent="0.3">
      <c r="A15" s="29">
        <v>11</v>
      </c>
      <c r="B15" s="30"/>
      <c r="C15" s="30"/>
      <c r="D15" s="30"/>
      <c r="E15" s="29"/>
      <c r="F15" s="50"/>
      <c r="G15" s="51" t="str">
        <f t="shared" si="0"/>
        <v/>
      </c>
      <c r="H15" s="29"/>
      <c r="I15" s="29"/>
      <c r="J15" s="30"/>
      <c r="K15" s="14"/>
      <c r="L15" s="14"/>
      <c r="M15" s="14"/>
    </row>
    <row r="16" spans="1:13" ht="19.5" customHeight="1" x14ac:dyDescent="0.3">
      <c r="A16" s="29">
        <v>12</v>
      </c>
      <c r="B16" s="30"/>
      <c r="C16" s="30"/>
      <c r="D16" s="30"/>
      <c r="E16" s="29"/>
      <c r="F16" s="50"/>
      <c r="G16" s="51" t="str">
        <f t="shared" si="0"/>
        <v/>
      </c>
      <c r="H16" s="29"/>
      <c r="I16" s="29"/>
      <c r="J16" s="30"/>
      <c r="K16" s="14"/>
      <c r="L16" s="14"/>
      <c r="M16" s="14"/>
    </row>
    <row r="17" spans="1:13" ht="19.5" customHeight="1" x14ac:dyDescent="0.3">
      <c r="A17" s="29">
        <v>13</v>
      </c>
      <c r="B17" s="30"/>
      <c r="C17" s="30"/>
      <c r="D17" s="30"/>
      <c r="E17" s="29"/>
      <c r="F17" s="50"/>
      <c r="G17" s="51" t="str">
        <f t="shared" si="0"/>
        <v/>
      </c>
      <c r="H17" s="29"/>
      <c r="I17" s="29"/>
      <c r="J17" s="30"/>
      <c r="K17" s="14"/>
      <c r="L17" s="14"/>
      <c r="M17" s="14"/>
    </row>
    <row r="18" spans="1:13" ht="19.5" customHeight="1" x14ac:dyDescent="0.3">
      <c r="A18" s="29">
        <v>14</v>
      </c>
      <c r="B18" s="30"/>
      <c r="C18" s="30"/>
      <c r="D18" s="30"/>
      <c r="E18" s="29"/>
      <c r="F18" s="50"/>
      <c r="G18" s="51" t="str">
        <f t="shared" si="0"/>
        <v/>
      </c>
      <c r="H18" s="29"/>
      <c r="I18" s="29"/>
      <c r="J18" s="30"/>
      <c r="K18" s="14"/>
      <c r="L18" s="14"/>
      <c r="M18" s="14"/>
    </row>
    <row r="19" spans="1:13" ht="24" customHeight="1" x14ac:dyDescent="0.3">
      <c r="A19" s="116" t="s">
        <v>358</v>
      </c>
      <c r="B19" s="116"/>
      <c r="C19" s="116"/>
      <c r="D19" s="116"/>
      <c r="E19" s="116"/>
      <c r="F19" s="116"/>
      <c r="G19" s="46">
        <f>SUM(G5:G18)</f>
        <v>138166.66666666669</v>
      </c>
      <c r="H19" s="48"/>
      <c r="I19" s="48"/>
      <c r="J19" s="48"/>
      <c r="K19" s="14"/>
      <c r="L19" s="14"/>
      <c r="M19" s="14"/>
    </row>
    <row r="20" spans="1:13" ht="14.25" customHeight="1" x14ac:dyDescent="0.3">
      <c r="A20" s="14"/>
      <c r="B20" s="14"/>
      <c r="C20" s="14"/>
      <c r="D20" s="14"/>
      <c r="E20" s="14"/>
      <c r="F20" s="14"/>
      <c r="G20" s="14"/>
      <c r="H20" s="14"/>
      <c r="I20" s="14"/>
      <c r="J20" s="14"/>
      <c r="K20" s="14"/>
      <c r="L20" s="14"/>
      <c r="M20" s="14"/>
    </row>
    <row r="21" spans="1:13" ht="21.75" customHeight="1" x14ac:dyDescent="0.3">
      <c r="A21" s="9" t="s">
        <v>359</v>
      </c>
      <c r="B21" s="9"/>
      <c r="C21" s="9"/>
      <c r="D21" s="9"/>
      <c r="E21" s="9"/>
      <c r="F21" s="9"/>
      <c r="G21" s="9"/>
      <c r="H21" s="9"/>
      <c r="I21" s="9"/>
      <c r="J21" s="9"/>
      <c r="K21" s="14"/>
      <c r="L21" s="14"/>
      <c r="M21" s="14"/>
    </row>
    <row r="22" spans="1:13" ht="24" customHeight="1" x14ac:dyDescent="0.3">
      <c r="A22" s="25" t="s">
        <v>333</v>
      </c>
      <c r="B22" s="25" t="s">
        <v>139</v>
      </c>
      <c r="C22" s="25" t="s">
        <v>334</v>
      </c>
      <c r="D22" s="25" t="s">
        <v>218</v>
      </c>
      <c r="E22" s="25" t="s">
        <v>360</v>
      </c>
      <c r="F22" s="122" t="s">
        <v>361</v>
      </c>
      <c r="G22" s="122"/>
      <c r="H22" s="122" t="s">
        <v>171</v>
      </c>
      <c r="I22" s="122"/>
      <c r="J22" s="25" t="s">
        <v>179</v>
      </c>
      <c r="K22" s="14"/>
      <c r="L22" s="14"/>
      <c r="M22" s="14"/>
    </row>
    <row r="23" spans="1:13" ht="19.5" customHeight="1" x14ac:dyDescent="0.3">
      <c r="A23" s="29"/>
      <c r="B23" s="49"/>
      <c r="C23" s="30"/>
      <c r="D23" s="30"/>
      <c r="E23" s="50"/>
      <c r="F23" s="123"/>
      <c r="G23" s="123"/>
      <c r="H23" s="124"/>
      <c r="I23" s="124"/>
      <c r="J23" s="60"/>
      <c r="K23" s="14"/>
      <c r="L23" s="14"/>
      <c r="M23" s="14"/>
    </row>
    <row r="24" spans="1:13" ht="19.5" customHeight="1" x14ac:dyDescent="0.3">
      <c r="A24" s="29">
        <v>2</v>
      </c>
      <c r="B24" s="49"/>
      <c r="C24" s="30"/>
      <c r="D24" s="30"/>
      <c r="E24" s="50"/>
      <c r="F24" s="123"/>
      <c r="G24" s="123"/>
      <c r="H24" s="124"/>
      <c r="I24" s="124"/>
      <c r="J24" s="60"/>
      <c r="K24" s="14"/>
      <c r="L24" s="14"/>
      <c r="M24" s="14"/>
    </row>
    <row r="25" spans="1:13" ht="19.5" customHeight="1" x14ac:dyDescent="0.3">
      <c r="A25" s="29">
        <v>3</v>
      </c>
      <c r="B25" s="49"/>
      <c r="C25" s="30"/>
      <c r="D25" s="30"/>
      <c r="E25" s="50"/>
      <c r="F25" s="123"/>
      <c r="G25" s="123"/>
      <c r="H25" s="124"/>
      <c r="I25" s="124"/>
      <c r="J25" s="60"/>
      <c r="K25" s="14"/>
      <c r="L25" s="14"/>
      <c r="M25" s="14"/>
    </row>
    <row r="26" spans="1:13" ht="19.5" customHeight="1" x14ac:dyDescent="0.3">
      <c r="A26" s="29">
        <v>4</v>
      </c>
      <c r="B26" s="49"/>
      <c r="C26" s="30"/>
      <c r="D26" s="30"/>
      <c r="E26" s="50"/>
      <c r="F26" s="123"/>
      <c r="G26" s="123"/>
      <c r="H26" s="124"/>
      <c r="I26" s="124"/>
      <c r="J26" s="60"/>
      <c r="K26" s="14"/>
      <c r="L26" s="14"/>
      <c r="M26" s="14"/>
    </row>
    <row r="27" spans="1:13" ht="19.5" customHeight="1" x14ac:dyDescent="0.3">
      <c r="A27" s="29">
        <v>5</v>
      </c>
      <c r="B27" s="49"/>
      <c r="C27" s="30"/>
      <c r="D27" s="30"/>
      <c r="E27" s="50"/>
      <c r="F27" s="123"/>
      <c r="G27" s="123"/>
      <c r="H27" s="124"/>
      <c r="I27" s="124"/>
      <c r="J27" s="60"/>
      <c r="K27" s="14"/>
      <c r="L27" s="14"/>
      <c r="M27" s="14"/>
    </row>
    <row r="28" spans="1:13" ht="19.5" customHeight="1" x14ac:dyDescent="0.3">
      <c r="A28" s="29">
        <v>6</v>
      </c>
      <c r="B28" s="49"/>
      <c r="C28" s="30"/>
      <c r="D28" s="30"/>
      <c r="E28" s="50"/>
      <c r="F28" s="123"/>
      <c r="G28" s="123"/>
      <c r="H28" s="124"/>
      <c r="I28" s="124"/>
      <c r="J28" s="60"/>
      <c r="K28" s="14"/>
      <c r="L28" s="14"/>
      <c r="M28" s="14"/>
    </row>
    <row r="29" spans="1:13" ht="19.5" customHeight="1" x14ac:dyDescent="0.3">
      <c r="A29" s="29">
        <v>7</v>
      </c>
      <c r="B29" s="49"/>
      <c r="C29" s="30"/>
      <c r="D29" s="30"/>
      <c r="E29" s="50"/>
      <c r="F29" s="123"/>
      <c r="G29" s="123"/>
      <c r="H29" s="124"/>
      <c r="I29" s="124"/>
      <c r="J29" s="60"/>
      <c r="K29" s="14"/>
      <c r="L29" s="14"/>
      <c r="M29" s="14"/>
    </row>
    <row r="30" spans="1:13" ht="19.5" customHeight="1" x14ac:dyDescent="0.3">
      <c r="A30" s="29">
        <v>8</v>
      </c>
      <c r="B30" s="49"/>
      <c r="C30" s="30"/>
      <c r="D30" s="30"/>
      <c r="E30" s="50"/>
      <c r="F30" s="123"/>
      <c r="G30" s="123"/>
      <c r="H30" s="124"/>
      <c r="I30" s="124"/>
      <c r="J30" s="60"/>
      <c r="K30" s="14"/>
      <c r="L30" s="14"/>
      <c r="M30" s="14"/>
    </row>
    <row r="31" spans="1:13" ht="19.5" customHeight="1" x14ac:dyDescent="0.3">
      <c r="A31" s="29">
        <v>9</v>
      </c>
      <c r="B31" s="49"/>
      <c r="C31" s="30"/>
      <c r="D31" s="30"/>
      <c r="E31" s="50"/>
      <c r="F31" s="123"/>
      <c r="G31" s="123"/>
      <c r="H31" s="124"/>
      <c r="I31" s="124"/>
      <c r="J31" s="60"/>
      <c r="K31" s="14"/>
      <c r="L31" s="14"/>
      <c r="M31" s="14"/>
    </row>
    <row r="32" spans="1:13" ht="19.5" customHeight="1" x14ac:dyDescent="0.3">
      <c r="A32" s="29">
        <v>10</v>
      </c>
      <c r="B32" s="49"/>
      <c r="C32" s="30"/>
      <c r="D32" s="30"/>
      <c r="E32" s="50"/>
      <c r="F32" s="123"/>
      <c r="G32" s="123"/>
      <c r="H32" s="124"/>
      <c r="I32" s="124"/>
      <c r="J32" s="60"/>
      <c r="K32" s="14"/>
      <c r="L32" s="14"/>
      <c r="M32" s="14"/>
    </row>
    <row r="33" spans="1:13" ht="19.5" customHeight="1" x14ac:dyDescent="0.3">
      <c r="A33" s="29">
        <v>11</v>
      </c>
      <c r="B33" s="49"/>
      <c r="C33" s="30"/>
      <c r="D33" s="30"/>
      <c r="E33" s="50"/>
      <c r="F33" s="123"/>
      <c r="G33" s="123"/>
      <c r="H33" s="124"/>
      <c r="I33" s="124"/>
      <c r="J33" s="60"/>
      <c r="K33" s="14"/>
      <c r="L33" s="14"/>
      <c r="M33" s="14"/>
    </row>
    <row r="34" spans="1:13" ht="19.5" customHeight="1" x14ac:dyDescent="0.3">
      <c r="A34" s="29">
        <v>12</v>
      </c>
      <c r="B34" s="49"/>
      <c r="C34" s="30"/>
      <c r="D34" s="30"/>
      <c r="E34" s="50"/>
      <c r="F34" s="123"/>
      <c r="G34" s="123"/>
      <c r="H34" s="124"/>
      <c r="I34" s="124"/>
      <c r="J34" s="60"/>
      <c r="K34" s="14"/>
      <c r="L34" s="14"/>
      <c r="M34" s="14"/>
    </row>
    <row r="35" spans="1:13" ht="19.5" customHeight="1" x14ac:dyDescent="0.3">
      <c r="A35" s="29">
        <v>13</v>
      </c>
      <c r="B35" s="49"/>
      <c r="C35" s="30"/>
      <c r="D35" s="30"/>
      <c r="E35" s="50"/>
      <c r="F35" s="123"/>
      <c r="G35" s="123"/>
      <c r="H35" s="124"/>
      <c r="I35" s="124"/>
      <c r="J35" s="60"/>
      <c r="K35" s="14"/>
      <c r="L35" s="14"/>
      <c r="M35" s="14"/>
    </row>
    <row r="36" spans="1:13" ht="19.5" customHeight="1" x14ac:dyDescent="0.3">
      <c r="A36" s="29">
        <v>14</v>
      </c>
      <c r="B36" s="49"/>
      <c r="C36" s="30"/>
      <c r="D36" s="30"/>
      <c r="E36" s="50"/>
      <c r="F36" s="123"/>
      <c r="G36" s="123"/>
      <c r="H36" s="124"/>
      <c r="I36" s="124"/>
      <c r="J36" s="60"/>
      <c r="K36" s="14"/>
      <c r="L36" s="14"/>
      <c r="M36" s="14"/>
    </row>
    <row r="37" spans="1:13" ht="19.5" customHeight="1" x14ac:dyDescent="0.3">
      <c r="A37" s="29">
        <v>15</v>
      </c>
      <c r="B37" s="49"/>
      <c r="C37" s="30"/>
      <c r="D37" s="30"/>
      <c r="E37" s="50"/>
      <c r="F37" s="123"/>
      <c r="G37" s="123"/>
      <c r="H37" s="124"/>
      <c r="I37" s="124"/>
      <c r="J37" s="60"/>
      <c r="K37" s="14"/>
      <c r="L37" s="14"/>
      <c r="M37" s="14"/>
    </row>
    <row r="38" spans="1:13" ht="19.5" customHeight="1" x14ac:dyDescent="0.3">
      <c r="A38" s="29">
        <v>16</v>
      </c>
      <c r="B38" s="49"/>
      <c r="C38" s="30"/>
      <c r="D38" s="30"/>
      <c r="E38" s="50"/>
      <c r="F38" s="123"/>
      <c r="G38" s="123"/>
      <c r="H38" s="124"/>
      <c r="I38" s="124"/>
      <c r="J38" s="60"/>
      <c r="K38" s="14"/>
      <c r="L38" s="14"/>
      <c r="M38" s="14"/>
    </row>
    <row r="39" spans="1:13" ht="19.5" customHeight="1" x14ac:dyDescent="0.3">
      <c r="A39" s="29">
        <v>17</v>
      </c>
      <c r="B39" s="49"/>
      <c r="C39" s="30"/>
      <c r="D39" s="30"/>
      <c r="E39" s="50"/>
      <c r="F39" s="123"/>
      <c r="G39" s="123"/>
      <c r="H39" s="124"/>
      <c r="I39" s="124"/>
      <c r="J39" s="60"/>
      <c r="K39" s="14"/>
      <c r="L39" s="14"/>
      <c r="M39" s="14"/>
    </row>
    <row r="40" spans="1:13" ht="19.5" customHeight="1" x14ac:dyDescent="0.3">
      <c r="A40" s="29">
        <v>18</v>
      </c>
      <c r="B40" s="49"/>
      <c r="C40" s="30"/>
      <c r="D40" s="30"/>
      <c r="E40" s="50"/>
      <c r="F40" s="123"/>
      <c r="G40" s="123"/>
      <c r="H40" s="124"/>
      <c r="I40" s="124"/>
      <c r="J40" s="60"/>
      <c r="K40" s="14"/>
      <c r="L40" s="14"/>
      <c r="M40" s="14"/>
    </row>
    <row r="41" spans="1:13" ht="15" customHeight="1" x14ac:dyDescent="0.3">
      <c r="A41" s="116" t="s">
        <v>362</v>
      </c>
      <c r="B41" s="116"/>
      <c r="C41" s="116"/>
      <c r="D41" s="116"/>
      <c r="E41" s="46">
        <f>SUM(E23:E40)</f>
        <v>0</v>
      </c>
      <c r="F41" s="125"/>
      <c r="G41" s="125"/>
      <c r="H41" s="125"/>
      <c r="I41" s="125"/>
      <c r="J41" s="125"/>
      <c r="K41" s="14"/>
      <c r="L41" s="14"/>
      <c r="M41" s="14"/>
    </row>
    <row r="42" spans="1:13" ht="14.25" customHeight="1" x14ac:dyDescent="0.3">
      <c r="A42" s="14"/>
      <c r="B42" s="14"/>
      <c r="C42" s="14"/>
      <c r="D42" s="14"/>
      <c r="E42" s="14"/>
      <c r="F42" s="14"/>
      <c r="G42" s="14"/>
      <c r="H42" s="14"/>
      <c r="I42" s="14"/>
      <c r="J42" s="14"/>
      <c r="K42" s="14"/>
      <c r="L42" s="14"/>
      <c r="M42" s="14"/>
    </row>
    <row r="43" spans="1:13" ht="21.75" customHeight="1" x14ac:dyDescent="0.3">
      <c r="A43" s="126" t="s">
        <v>363</v>
      </c>
      <c r="B43" s="126"/>
      <c r="C43" s="126"/>
      <c r="D43" s="126"/>
      <c r="E43" s="126"/>
      <c r="F43" s="126"/>
      <c r="G43" s="126"/>
      <c r="H43" s="126"/>
      <c r="I43" s="126"/>
      <c r="J43" s="126"/>
      <c r="K43" s="14"/>
      <c r="L43" s="14"/>
      <c r="M43" s="14"/>
    </row>
    <row r="44" spans="1:13" ht="21.75" customHeight="1" x14ac:dyDescent="0.3">
      <c r="A44" s="48"/>
      <c r="B44" s="25" t="s">
        <v>349</v>
      </c>
      <c r="C44" s="25" t="s">
        <v>342</v>
      </c>
      <c r="D44" s="25" t="s">
        <v>364</v>
      </c>
      <c r="E44" s="122" t="s">
        <v>179</v>
      </c>
      <c r="F44" s="122"/>
      <c r="G44" s="122"/>
      <c r="H44" s="122"/>
      <c r="I44" s="122"/>
      <c r="J44" s="122"/>
      <c r="K44" s="14"/>
      <c r="L44" s="14"/>
      <c r="M44" s="14"/>
    </row>
    <row r="45" spans="1:13" ht="19.5" customHeight="1" x14ac:dyDescent="0.3">
      <c r="A45" s="61"/>
      <c r="B45" s="62">
        <v>2026</v>
      </c>
      <c r="C45" s="62">
        <v>1</v>
      </c>
      <c r="D45" s="50"/>
      <c r="E45" s="123"/>
      <c r="F45" s="123"/>
      <c r="G45" s="123"/>
      <c r="H45" s="123"/>
      <c r="I45" s="123"/>
      <c r="J45" s="123"/>
      <c r="K45" s="14"/>
      <c r="L45" s="14"/>
      <c r="M45" s="14"/>
    </row>
    <row r="46" spans="1:13" ht="19.5" customHeight="1" x14ac:dyDescent="0.3">
      <c r="A46" s="61"/>
      <c r="B46" s="62">
        <v>2026</v>
      </c>
      <c r="C46" s="62">
        <v>2</v>
      </c>
      <c r="D46" s="50"/>
      <c r="E46" s="123"/>
      <c r="F46" s="123"/>
      <c r="G46" s="123"/>
      <c r="H46" s="123"/>
      <c r="I46" s="123"/>
      <c r="J46" s="123"/>
      <c r="K46" s="14"/>
      <c r="L46" s="14"/>
      <c r="M46" s="14"/>
    </row>
    <row r="47" spans="1:13" ht="19.5" customHeight="1" x14ac:dyDescent="0.3">
      <c r="A47" s="61"/>
      <c r="B47" s="62">
        <v>2026</v>
      </c>
      <c r="C47" s="62">
        <v>3</v>
      </c>
      <c r="D47" s="50"/>
      <c r="E47" s="123"/>
      <c r="F47" s="123"/>
      <c r="G47" s="123"/>
      <c r="H47" s="123"/>
      <c r="I47" s="123"/>
      <c r="J47" s="123"/>
      <c r="K47" s="14"/>
      <c r="L47" s="14"/>
      <c r="M47" s="14"/>
    </row>
    <row r="48" spans="1:13" ht="19.5" customHeight="1" x14ac:dyDescent="0.3">
      <c r="A48" s="61"/>
      <c r="B48" s="62">
        <v>2026</v>
      </c>
      <c r="C48" s="62">
        <v>4</v>
      </c>
      <c r="D48" s="50"/>
      <c r="E48" s="123"/>
      <c r="F48" s="123"/>
      <c r="G48" s="123"/>
      <c r="H48" s="123"/>
      <c r="I48" s="123"/>
      <c r="J48" s="123"/>
      <c r="K48" s="14"/>
      <c r="L48" s="14"/>
      <c r="M48" s="14"/>
    </row>
    <row r="49" spans="1:13" ht="19.5" customHeight="1" x14ac:dyDescent="0.3">
      <c r="A49" s="61"/>
      <c r="B49" s="62">
        <v>2026</v>
      </c>
      <c r="C49" s="62">
        <v>5</v>
      </c>
      <c r="D49" s="50"/>
      <c r="E49" s="123"/>
      <c r="F49" s="123"/>
      <c r="G49" s="123"/>
      <c r="H49" s="123"/>
      <c r="I49" s="123"/>
      <c r="J49" s="123"/>
      <c r="K49" s="14"/>
      <c r="L49" s="14"/>
      <c r="M49" s="14"/>
    </row>
    <row r="50" spans="1:13" ht="19.5" customHeight="1" x14ac:dyDescent="0.3">
      <c r="A50" s="61"/>
      <c r="B50" s="62">
        <v>2026</v>
      </c>
      <c r="C50" s="62">
        <v>6</v>
      </c>
      <c r="D50" s="50">
        <v>138000</v>
      </c>
      <c r="E50" s="123" t="s">
        <v>365</v>
      </c>
      <c r="F50" s="123"/>
      <c r="G50" s="123"/>
      <c r="H50" s="123"/>
      <c r="I50" s="123"/>
      <c r="J50" s="123"/>
      <c r="K50" s="14"/>
      <c r="L50" s="14"/>
      <c r="M50" s="14"/>
    </row>
    <row r="51" spans="1:13" ht="19.5" customHeight="1" x14ac:dyDescent="0.3">
      <c r="A51" s="61"/>
      <c r="B51" s="62">
        <v>2026</v>
      </c>
      <c r="C51" s="62">
        <v>7</v>
      </c>
      <c r="D51" s="50"/>
      <c r="E51" s="123"/>
      <c r="F51" s="123"/>
      <c r="G51" s="123"/>
      <c r="H51" s="123"/>
      <c r="I51" s="123"/>
      <c r="J51" s="123"/>
      <c r="K51" s="14"/>
      <c r="L51" s="14"/>
      <c r="M51" s="14"/>
    </row>
    <row r="52" spans="1:13" ht="19.5" customHeight="1" x14ac:dyDescent="0.3">
      <c r="A52" s="61"/>
      <c r="B52" s="62">
        <v>2026</v>
      </c>
      <c r="C52" s="62">
        <v>8</v>
      </c>
      <c r="D52" s="50"/>
      <c r="E52" s="123"/>
      <c r="F52" s="123"/>
      <c r="G52" s="123"/>
      <c r="H52" s="123"/>
      <c r="I52" s="123"/>
      <c r="J52" s="123"/>
      <c r="K52" s="14"/>
      <c r="L52" s="14"/>
      <c r="M52" s="14"/>
    </row>
    <row r="53" spans="1:13" ht="19.5" customHeight="1" x14ac:dyDescent="0.3">
      <c r="A53" s="61"/>
      <c r="B53" s="62">
        <v>2026</v>
      </c>
      <c r="C53" s="62">
        <v>9</v>
      </c>
      <c r="D53" s="50"/>
      <c r="E53" s="123"/>
      <c r="F53" s="123"/>
      <c r="G53" s="123"/>
      <c r="H53" s="123"/>
      <c r="I53" s="123"/>
      <c r="J53" s="123"/>
      <c r="K53" s="14"/>
      <c r="L53" s="14"/>
      <c r="M53" s="14"/>
    </row>
    <row r="54" spans="1:13" ht="19.5" customHeight="1" x14ac:dyDescent="0.3">
      <c r="A54" s="61"/>
      <c r="B54" s="62">
        <v>2026</v>
      </c>
      <c r="C54" s="62">
        <v>10</v>
      </c>
      <c r="D54" s="50"/>
      <c r="E54" s="123"/>
      <c r="F54" s="123"/>
      <c r="G54" s="123"/>
      <c r="H54" s="123"/>
      <c r="I54" s="123"/>
      <c r="J54" s="123"/>
      <c r="K54" s="14"/>
      <c r="L54" s="14"/>
      <c r="M54" s="14"/>
    </row>
    <row r="55" spans="1:13" ht="19.5" customHeight="1" x14ac:dyDescent="0.3">
      <c r="A55" s="61"/>
      <c r="B55" s="62">
        <v>2026</v>
      </c>
      <c r="C55" s="62">
        <v>11</v>
      </c>
      <c r="D55" s="50"/>
      <c r="E55" s="123"/>
      <c r="F55" s="123"/>
      <c r="G55" s="123"/>
      <c r="H55" s="123"/>
      <c r="I55" s="123"/>
      <c r="J55" s="123"/>
      <c r="K55" s="14"/>
      <c r="L55" s="14"/>
      <c r="M55" s="14"/>
    </row>
    <row r="56" spans="1:13" ht="19.5" customHeight="1" x14ac:dyDescent="0.3">
      <c r="A56" s="61"/>
      <c r="B56" s="62">
        <v>2026</v>
      </c>
      <c r="C56" s="62">
        <v>12</v>
      </c>
      <c r="D56" s="50"/>
      <c r="E56" s="123"/>
      <c r="F56" s="123"/>
      <c r="G56" s="123"/>
      <c r="H56" s="123"/>
      <c r="I56" s="123"/>
      <c r="J56" s="123"/>
      <c r="K56" s="14"/>
      <c r="L56" s="14"/>
      <c r="M56" s="14"/>
    </row>
    <row r="57" spans="1:13" ht="19.5" customHeight="1" x14ac:dyDescent="0.3">
      <c r="A57" s="61"/>
      <c r="B57" s="62">
        <v>2027</v>
      </c>
      <c r="C57" s="62">
        <v>1</v>
      </c>
      <c r="D57" s="63"/>
      <c r="E57" s="127"/>
      <c r="F57" s="127"/>
      <c r="G57" s="127"/>
      <c r="H57" s="127"/>
      <c r="I57" s="127"/>
      <c r="J57" s="127"/>
      <c r="K57" s="14"/>
      <c r="L57" s="14"/>
      <c r="M57" s="14"/>
    </row>
    <row r="58" spans="1:13" ht="19.5" customHeight="1" x14ac:dyDescent="0.3">
      <c r="A58" s="61"/>
      <c r="B58" s="62">
        <v>2027</v>
      </c>
      <c r="C58" s="62">
        <v>2</v>
      </c>
      <c r="D58" s="63"/>
      <c r="E58" s="127"/>
      <c r="F58" s="127"/>
      <c r="G58" s="127"/>
      <c r="H58" s="127"/>
      <c r="I58" s="127"/>
      <c r="J58" s="127"/>
      <c r="K58" s="14"/>
      <c r="L58" s="14"/>
      <c r="M58" s="14"/>
    </row>
    <row r="59" spans="1:13" ht="19.5" customHeight="1" x14ac:dyDescent="0.3">
      <c r="A59" s="61"/>
      <c r="B59" s="62">
        <v>2027</v>
      </c>
      <c r="C59" s="62">
        <v>3</v>
      </c>
      <c r="D59" s="63"/>
      <c r="E59" s="127"/>
      <c r="F59" s="127"/>
      <c r="G59" s="127"/>
      <c r="H59" s="127"/>
      <c r="I59" s="127"/>
      <c r="J59" s="127"/>
      <c r="K59" s="14"/>
      <c r="L59" s="14"/>
      <c r="M59" s="14"/>
    </row>
    <row r="60" spans="1:13" ht="19.5" customHeight="1" x14ac:dyDescent="0.3">
      <c r="A60" s="61"/>
      <c r="B60" s="62">
        <v>2027</v>
      </c>
      <c r="C60" s="62">
        <v>4</v>
      </c>
      <c r="D60" s="63"/>
      <c r="E60" s="127"/>
      <c r="F60" s="127"/>
      <c r="G60" s="127"/>
      <c r="H60" s="127"/>
      <c r="I60" s="127"/>
      <c r="J60" s="127"/>
      <c r="K60" s="14"/>
      <c r="L60" s="14"/>
      <c r="M60" s="14"/>
    </row>
    <row r="61" spans="1:13" ht="19.5" customHeight="1" x14ac:dyDescent="0.3">
      <c r="A61" s="61"/>
      <c r="B61" s="62">
        <v>2027</v>
      </c>
      <c r="C61" s="62">
        <v>5</v>
      </c>
      <c r="D61" s="63"/>
      <c r="E61" s="127"/>
      <c r="F61" s="127"/>
      <c r="G61" s="127"/>
      <c r="H61" s="127"/>
      <c r="I61" s="127"/>
      <c r="J61" s="127"/>
      <c r="K61" s="14"/>
      <c r="L61" s="14"/>
      <c r="M61" s="14"/>
    </row>
    <row r="62" spans="1:13" ht="19.5" customHeight="1" x14ac:dyDescent="0.3">
      <c r="A62" s="61"/>
      <c r="B62" s="62">
        <v>2027</v>
      </c>
      <c r="C62" s="62">
        <v>6</v>
      </c>
      <c r="D62" s="63"/>
      <c r="E62" s="127"/>
      <c r="F62" s="127"/>
      <c r="G62" s="127"/>
      <c r="H62" s="127"/>
      <c r="I62" s="127"/>
      <c r="J62" s="127"/>
      <c r="K62" s="14"/>
      <c r="L62" s="14"/>
      <c r="M62" s="14"/>
    </row>
    <row r="63" spans="1:13" ht="19.5" customHeight="1" x14ac:dyDescent="0.3">
      <c r="A63" s="61"/>
      <c r="B63" s="62">
        <v>2027</v>
      </c>
      <c r="C63" s="62">
        <v>7</v>
      </c>
      <c r="D63" s="63"/>
      <c r="E63" s="127"/>
      <c r="F63" s="127"/>
      <c r="G63" s="127"/>
      <c r="H63" s="127"/>
      <c r="I63" s="127"/>
      <c r="J63" s="127"/>
      <c r="K63" s="14"/>
      <c r="L63" s="14"/>
      <c r="M63" s="14"/>
    </row>
    <row r="64" spans="1:13" ht="19.5" customHeight="1" x14ac:dyDescent="0.3">
      <c r="A64" s="61"/>
      <c r="B64" s="62">
        <v>2027</v>
      </c>
      <c r="C64" s="62">
        <v>8</v>
      </c>
      <c r="D64" s="63"/>
      <c r="E64" s="127"/>
      <c r="F64" s="127"/>
      <c r="G64" s="127"/>
      <c r="H64" s="127"/>
      <c r="I64" s="127"/>
      <c r="J64" s="127"/>
      <c r="K64" s="14"/>
      <c r="L64" s="14"/>
      <c r="M64" s="14"/>
    </row>
    <row r="65" spans="1:13" ht="19.5" customHeight="1" x14ac:dyDescent="0.3">
      <c r="A65" s="61"/>
      <c r="B65" s="62">
        <v>2027</v>
      </c>
      <c r="C65" s="62">
        <v>9</v>
      </c>
      <c r="D65" s="63"/>
      <c r="E65" s="127"/>
      <c r="F65" s="127"/>
      <c r="G65" s="127"/>
      <c r="H65" s="127"/>
      <c r="I65" s="127"/>
      <c r="J65" s="127"/>
      <c r="K65" s="14"/>
      <c r="L65" s="14"/>
      <c r="M65" s="14"/>
    </row>
    <row r="66" spans="1:13" ht="19.5" customHeight="1" x14ac:dyDescent="0.3">
      <c r="A66" s="61"/>
      <c r="B66" s="62">
        <v>2027</v>
      </c>
      <c r="C66" s="62">
        <v>10</v>
      </c>
      <c r="D66" s="63"/>
      <c r="E66" s="127"/>
      <c r="F66" s="127"/>
      <c r="G66" s="127"/>
      <c r="H66" s="127"/>
      <c r="I66" s="127"/>
      <c r="J66" s="127"/>
      <c r="K66" s="14"/>
      <c r="L66" s="14"/>
      <c r="M66" s="14"/>
    </row>
    <row r="67" spans="1:13" ht="19.5" customHeight="1" x14ac:dyDescent="0.3">
      <c r="A67" s="61"/>
      <c r="B67" s="62">
        <v>2027</v>
      </c>
      <c r="C67" s="62">
        <v>11</v>
      </c>
      <c r="D67" s="63"/>
      <c r="E67" s="127"/>
      <c r="F67" s="127"/>
      <c r="G67" s="127"/>
      <c r="H67" s="127"/>
      <c r="I67" s="127"/>
      <c r="J67" s="127"/>
      <c r="K67" s="14"/>
      <c r="L67" s="14"/>
      <c r="M67" s="14"/>
    </row>
    <row r="68" spans="1:13" ht="19.5" customHeight="1" x14ac:dyDescent="0.3">
      <c r="A68" s="61"/>
      <c r="B68" s="62">
        <v>2027</v>
      </c>
      <c r="C68" s="62">
        <v>12</v>
      </c>
      <c r="D68" s="63"/>
      <c r="E68" s="127"/>
      <c r="F68" s="127"/>
      <c r="G68" s="127"/>
      <c r="H68" s="127"/>
      <c r="I68" s="127"/>
      <c r="J68" s="127"/>
      <c r="K68" s="14"/>
      <c r="L68" s="14"/>
      <c r="M68" s="14"/>
    </row>
    <row r="69" spans="1:13" ht="14.25" customHeight="1" x14ac:dyDescent="0.3">
      <c r="A69" s="14"/>
      <c r="B69" s="14"/>
      <c r="C69" s="14"/>
      <c r="D69" s="14"/>
      <c r="E69" s="14"/>
      <c r="F69" s="14"/>
      <c r="G69" s="14"/>
      <c r="H69" s="14"/>
      <c r="I69" s="14"/>
      <c r="J69" s="14"/>
      <c r="K69" s="14"/>
      <c r="L69" s="14"/>
      <c r="M69" s="14"/>
    </row>
    <row r="70" spans="1:13" ht="33.75" customHeight="1" x14ac:dyDescent="0.3">
      <c r="A70" s="95" t="s">
        <v>366</v>
      </c>
      <c r="B70" s="95"/>
      <c r="C70" s="95"/>
      <c r="D70" s="95"/>
      <c r="E70" s="95"/>
      <c r="F70" s="95"/>
      <c r="G70" s="95"/>
      <c r="H70" s="95"/>
      <c r="I70" s="95"/>
      <c r="J70" s="95"/>
      <c r="K70" s="14"/>
      <c r="L70" s="14"/>
      <c r="M70" s="14"/>
    </row>
  </sheetData>
  <sheetProtection sheet="1" formatCells="0" formatColumns="0" formatRows="0" insertColumns="0" insertRows="0" deleteColumns="0" deleteRows="0" sort="0" autoFilter="0"/>
  <autoFilter ref="A22:J40" xr:uid="{00000000-0009-0000-0000-000008000000}"/>
  <mergeCells count="73">
    <mergeCell ref="E68:J68"/>
    <mergeCell ref="A70:J70"/>
    <mergeCell ref="E63:J63"/>
    <mergeCell ref="E64:J64"/>
    <mergeCell ref="E65:J65"/>
    <mergeCell ref="E66:J66"/>
    <mergeCell ref="E67:J67"/>
    <mergeCell ref="E58:J58"/>
    <mergeCell ref="E59:J59"/>
    <mergeCell ref="E60:J60"/>
    <mergeCell ref="E61:J61"/>
    <mergeCell ref="E62:J62"/>
    <mergeCell ref="E53:J53"/>
    <mergeCell ref="E54:J54"/>
    <mergeCell ref="E55:J55"/>
    <mergeCell ref="E56:J56"/>
    <mergeCell ref="E57:J57"/>
    <mergeCell ref="E48:J48"/>
    <mergeCell ref="E49:J49"/>
    <mergeCell ref="E50:J50"/>
    <mergeCell ref="E51:J51"/>
    <mergeCell ref="E52:J52"/>
    <mergeCell ref="A43:J43"/>
    <mergeCell ref="E44:J44"/>
    <mergeCell ref="E45:J45"/>
    <mergeCell ref="E46:J46"/>
    <mergeCell ref="E47:J47"/>
    <mergeCell ref="F39:G39"/>
    <mergeCell ref="H39:I39"/>
    <mergeCell ref="F40:G40"/>
    <mergeCell ref="H40:I40"/>
    <mergeCell ref="A41:D41"/>
    <mergeCell ref="F41:J41"/>
    <mergeCell ref="F36:G36"/>
    <mergeCell ref="H36:I36"/>
    <mergeCell ref="F37:G37"/>
    <mergeCell ref="H37:I37"/>
    <mergeCell ref="F38:G38"/>
    <mergeCell ref="H38:I38"/>
    <mergeCell ref="F33:G33"/>
    <mergeCell ref="H33:I33"/>
    <mergeCell ref="F34:G34"/>
    <mergeCell ref="H34:I34"/>
    <mergeCell ref="F35:G35"/>
    <mergeCell ref="H35:I35"/>
    <mergeCell ref="F30:G30"/>
    <mergeCell ref="H30:I30"/>
    <mergeCell ref="F31:G31"/>
    <mergeCell ref="H31:I31"/>
    <mergeCell ref="F32:G32"/>
    <mergeCell ref="H32:I32"/>
    <mergeCell ref="F27:G27"/>
    <mergeCell ref="H27:I27"/>
    <mergeCell ref="F28:G28"/>
    <mergeCell ref="H28:I28"/>
    <mergeCell ref="F29:G29"/>
    <mergeCell ref="H29:I29"/>
    <mergeCell ref="F24:G24"/>
    <mergeCell ref="H24:I24"/>
    <mergeCell ref="F25:G25"/>
    <mergeCell ref="H25:I25"/>
    <mergeCell ref="F26:G26"/>
    <mergeCell ref="H26:I26"/>
    <mergeCell ref="A21:J21"/>
    <mergeCell ref="F22:G22"/>
    <mergeCell ref="H22:I22"/>
    <mergeCell ref="F23:G23"/>
    <mergeCell ref="H23:I23"/>
    <mergeCell ref="A1:J1"/>
    <mergeCell ref="L1:M1"/>
    <mergeCell ref="A2:J2"/>
    <mergeCell ref="A3:J3"/>
    <mergeCell ref="A19:F19"/>
  </mergeCells>
  <dataValidations count="5">
    <dataValidation type="list" allowBlank="1" sqref="E5:E18" xr:uid="{00000000-0002-0000-0800-000000000000}">
      <formula1>"Tháng,Quý,6 tháng,Năm,2 năm"</formula1>
      <formula2>0</formula2>
    </dataValidation>
    <dataValidation type="list" allowBlank="1" sqref="I5:I18" xr:uid="{00000000-0002-0000-0800-000001000000}">
      <formula1>"Đã trả,Chưa trả,Tự động gia hạn"</formula1>
      <formula2>0</formula2>
    </dataValidation>
    <dataValidation type="list" allowBlank="1" sqref="H23:H40" xr:uid="{00000000-0002-0000-0800-000002000000}">
      <formula1>"Đã trả,Chưa trả"</formula1>
      <formula2>0</formula2>
    </dataValidation>
    <dataValidation type="list" allowBlank="1" sqref="C45:C68" xr:uid="{00000000-0002-0000-0800-000003000000}">
      <formula1>"1,2,3,4,5,6,7,8,9,10,11,12"</formula1>
      <formula2>0</formula2>
    </dataValidation>
    <dataValidation type="list" allowBlank="1" sqref="B45:B68" xr:uid="{00000000-0002-0000-0800-000004000000}">
      <formula1>"2025,2026,2027,2028,2029,2030,2031,2032,2033,2034,2035,2036,2037,2038,2039,2040,2041,2042,2043,2044,2045"</formula1>
      <formula2>0</formula2>
    </dataValidation>
  </dataValidations>
  <hyperlinks>
    <hyperlink ref="L1" location="'MUC-LUC'!A1" display="« MỤC LỤC" xr:uid="{00000000-0004-0000-0800-000000000000}"/>
  </hyperlinks>
  <pageMargins left="0.75" right="0.75" top="1" bottom="1" header="0.511811023622047" footer="0.511811023622047"/>
  <pageSetup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HUONG-DAN</vt:lpstr>
      <vt:lpstr>MUC-LUC</vt:lpstr>
      <vt:lpstr>DASHBOARD</vt:lpstr>
      <vt:lpstr>K-HANG</vt:lpstr>
      <vt:lpstr>SANPHAM</vt:lpstr>
      <vt:lpstr>NHA-CUNG-CAP</vt:lpstr>
      <vt:lpstr>DON-HANG</vt:lpstr>
      <vt:lpstr>NHAP-HANG</vt:lpstr>
      <vt:lpstr>CHI-PHI</vt:lpstr>
      <vt:lpstr>THEO-DOI</vt:lpstr>
      <vt:lpstr>TONG-HOP</vt:lpstr>
      <vt:lpstr>CONG-NO</vt:lpstr>
      <vt:lpstr>MUC-TIEU</vt:lpstr>
      <vt:lpstr>_LISTS</vt:lpstr>
      <vt:lpstr>'CONG-NO'!Print_Area</vt:lpstr>
      <vt:lpstr>DASHBOARD!Print_Area</vt:lpstr>
      <vt:lpstr>'HUONG-DAN'!Print_Area</vt:lpstr>
      <vt:lpstr>'K-HANG'!Print_Area</vt:lpstr>
      <vt:lpstr>'MUC-LUC'!Print_Area</vt:lpstr>
      <vt:lpstr>'MUC-TIEU'!Print_Area</vt:lpstr>
      <vt:lpstr>'NHA-CUNG-CAP'!Print_Area</vt:lpstr>
      <vt:lpstr>'NHAP-HANG'!Print_Area</vt:lpstr>
      <vt:lpstr>SANPHAM!Print_Area</vt:lpstr>
      <vt:lpstr>'THEO-DOI'!Print_Area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dc:description/>
  <cp:lastModifiedBy>HP</cp:lastModifiedBy>
  <cp:revision>10</cp:revision>
  <cp:lastPrinted>2026-04-15T02:37:39Z</cp:lastPrinted>
  <dcterms:created xsi:type="dcterms:W3CDTF">2015-06-05T18:17:20Z</dcterms:created>
  <dcterms:modified xsi:type="dcterms:W3CDTF">2026-06-09T03:09:17Z</dcterms:modified>
  <dc:language>en-US</dc:language>
</cp:coreProperties>
</file>